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8736"/>
  </bookViews>
  <sheets>
    <sheet name="Jan-June ROPS" sheetId="1" r:id="rId1"/>
  </sheets>
  <externalReferences>
    <externalReference r:id="rId2"/>
    <externalReference r:id="rId3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'Jan-June ROPS'!$A$1:$U$69</definedName>
    <definedName name="_xlnm.Print_Area">#REF!</definedName>
    <definedName name="Print_Area_MI">#REF!</definedName>
    <definedName name="_xlnm.Print_Titles" localSheetId="0">'Jan-June ROPS'!$A:$B</definedName>
    <definedName name="PRNTNAM">#N/A</definedName>
    <definedName name="Q">#REF!</definedName>
    <definedName name="RMASTR">#N/A</definedName>
    <definedName name="SRV">'[2]60476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45621"/>
</workbook>
</file>

<file path=xl/calcChain.xml><?xml version="1.0" encoding="utf-8"?>
<calcChain xmlns="http://schemas.openxmlformats.org/spreadsheetml/2006/main">
  <c r="S64" i="1" l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U62" i="1"/>
  <c r="U61" i="1"/>
  <c r="U60" i="1"/>
  <c r="U59" i="1"/>
  <c r="U58" i="1"/>
  <c r="U64" i="1" s="1"/>
  <c r="U57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U48" i="1"/>
  <c r="U47" i="1"/>
  <c r="U46" i="1"/>
  <c r="U45" i="1"/>
  <c r="U44" i="1"/>
  <c r="U43" i="1"/>
  <c r="U50" i="1" s="1"/>
  <c r="S37" i="1"/>
  <c r="R37" i="1"/>
  <c r="P37" i="1"/>
  <c r="O37" i="1"/>
  <c r="N37" i="1"/>
  <c r="M37" i="1"/>
  <c r="L37" i="1"/>
  <c r="K37" i="1"/>
  <c r="J37" i="1"/>
  <c r="G37" i="1"/>
  <c r="F37" i="1"/>
  <c r="E37" i="1"/>
  <c r="D37" i="1"/>
  <c r="C37" i="1"/>
  <c r="U35" i="1"/>
  <c r="Q35" i="1"/>
  <c r="Q37" i="1" s="1"/>
  <c r="I35" i="1"/>
  <c r="I37" i="1" s="1"/>
  <c r="H35" i="1"/>
  <c r="H37" i="1" s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37" i="1" s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U14" i="1" s="1"/>
  <c r="S13" i="1"/>
  <c r="S15" i="1" s="1"/>
  <c r="S17" i="1" s="1"/>
  <c r="S39" i="1" s="1"/>
  <c r="S52" i="1" s="1"/>
  <c r="R13" i="1"/>
  <c r="R15" i="1" s="1"/>
  <c r="R17" i="1" s="1"/>
  <c r="R39" i="1" s="1"/>
  <c r="R52" i="1" s="1"/>
  <c r="Q13" i="1"/>
  <c r="Q15" i="1" s="1"/>
  <c r="Q17" i="1" s="1"/>
  <c r="Q39" i="1" s="1"/>
  <c r="Q52" i="1" s="1"/>
  <c r="P13" i="1"/>
  <c r="P15" i="1" s="1"/>
  <c r="P17" i="1" s="1"/>
  <c r="P39" i="1" s="1"/>
  <c r="P52" i="1" s="1"/>
  <c r="O13" i="1"/>
  <c r="O15" i="1" s="1"/>
  <c r="O17" i="1" s="1"/>
  <c r="O39" i="1" s="1"/>
  <c r="O52" i="1" s="1"/>
  <c r="N13" i="1"/>
  <c r="N15" i="1" s="1"/>
  <c r="N17" i="1" s="1"/>
  <c r="N39" i="1" s="1"/>
  <c r="N52" i="1" s="1"/>
  <c r="M13" i="1"/>
  <c r="M15" i="1" s="1"/>
  <c r="M17" i="1" s="1"/>
  <c r="M39" i="1" s="1"/>
  <c r="M52" i="1" s="1"/>
  <c r="L13" i="1"/>
  <c r="L15" i="1" s="1"/>
  <c r="L17" i="1" s="1"/>
  <c r="L39" i="1" s="1"/>
  <c r="L52" i="1" s="1"/>
  <c r="K13" i="1"/>
  <c r="K15" i="1" s="1"/>
  <c r="K17" i="1" s="1"/>
  <c r="K39" i="1" s="1"/>
  <c r="K52" i="1" s="1"/>
  <c r="J13" i="1"/>
  <c r="J15" i="1" s="1"/>
  <c r="J17" i="1" s="1"/>
  <c r="J39" i="1" s="1"/>
  <c r="J52" i="1" s="1"/>
  <c r="I13" i="1"/>
  <c r="I15" i="1" s="1"/>
  <c r="I17" i="1" s="1"/>
  <c r="I39" i="1" s="1"/>
  <c r="I52" i="1" s="1"/>
  <c r="H13" i="1"/>
  <c r="H15" i="1" s="1"/>
  <c r="H17" i="1" s="1"/>
  <c r="H39" i="1" s="1"/>
  <c r="H52" i="1" s="1"/>
  <c r="G13" i="1"/>
  <c r="G15" i="1" s="1"/>
  <c r="G17" i="1" s="1"/>
  <c r="G39" i="1" s="1"/>
  <c r="G52" i="1" s="1"/>
  <c r="F13" i="1"/>
  <c r="F15" i="1" s="1"/>
  <c r="F17" i="1" s="1"/>
  <c r="F39" i="1" s="1"/>
  <c r="F52" i="1" s="1"/>
  <c r="E13" i="1"/>
  <c r="E15" i="1" s="1"/>
  <c r="E17" i="1" s="1"/>
  <c r="E39" i="1" s="1"/>
  <c r="E52" i="1" s="1"/>
  <c r="D13" i="1"/>
  <c r="D15" i="1" s="1"/>
  <c r="D17" i="1" s="1"/>
  <c r="D39" i="1" s="1"/>
  <c r="D52" i="1" s="1"/>
  <c r="C13" i="1"/>
  <c r="U13" i="1" s="1"/>
  <c r="U15" i="1" s="1"/>
  <c r="U10" i="1"/>
  <c r="U17" i="1" s="1"/>
  <c r="U39" i="1" l="1"/>
  <c r="U52" i="1" s="1"/>
  <c r="C15" i="1"/>
  <c r="C17" i="1" s="1"/>
  <c r="C39" i="1" s="1"/>
  <c r="C52" i="1" s="1"/>
</calcChain>
</file>

<file path=xl/comments1.xml><?xml version="1.0" encoding="utf-8"?>
<comments xmlns="http://schemas.openxmlformats.org/spreadsheetml/2006/main">
  <authors>
    <author>kerive</author>
  </authors>
  <commentList>
    <comment ref="I35" authorId="0">
      <text>
        <r>
          <rPr>
            <sz val="8"/>
            <color indexed="81"/>
            <rFont val="Tahoma"/>
            <family val="2"/>
          </rPr>
          <t>Please see comment section below.</t>
        </r>
      </text>
    </comment>
    <comment ref="L35" authorId="0">
      <text>
        <r>
          <rPr>
            <sz val="8"/>
            <color indexed="81"/>
            <rFont val="Tahoma"/>
            <family val="2"/>
          </rPr>
          <t>Please see comment section below.</t>
        </r>
      </text>
    </comment>
  </commentList>
</comments>
</file>

<file path=xl/sharedStrings.xml><?xml version="1.0" encoding="utf-8"?>
<sst xmlns="http://schemas.openxmlformats.org/spreadsheetml/2006/main" count="69" uniqueCount="67">
  <si>
    <t>County of San Diego</t>
  </si>
  <si>
    <t>Redevelopment Property Tax Trust Fund Allocations for January 2012-June 2012 ROPS</t>
  </si>
  <si>
    <t>(Whole Numbers)</t>
  </si>
  <si>
    <t>Carlsbad RDA</t>
  </si>
  <si>
    <t>Chula Vista RDA</t>
  </si>
  <si>
    <t>Coronado RDA</t>
  </si>
  <si>
    <t>El Cajon RDA</t>
  </si>
  <si>
    <t>Escondido RDA</t>
  </si>
  <si>
    <t>Imperial Beach RDA</t>
  </si>
  <si>
    <t>La Mesa RDA *</t>
  </si>
  <si>
    <t>Lemon Grove RDA</t>
  </si>
  <si>
    <t>National City RDA</t>
  </si>
  <si>
    <t>Oceanside RDA *</t>
  </si>
  <si>
    <t>City of San Diego RDA</t>
  </si>
  <si>
    <t>San Marcos RDA</t>
  </si>
  <si>
    <t>Santee RDA</t>
  </si>
  <si>
    <t>Poway RDA</t>
  </si>
  <si>
    <t>Solana Beach RDA</t>
  </si>
  <si>
    <t>Vista RDA</t>
  </si>
  <si>
    <t>County of San Diego RDA</t>
  </si>
  <si>
    <t>Total</t>
  </si>
  <si>
    <t>Redevelopment Property Tax Trust Fund (RPTTF) Activity</t>
  </si>
  <si>
    <t>RPTTF Beginning Balance (Must be $0 in all cases)</t>
  </si>
  <si>
    <t>Deposits:</t>
  </si>
  <si>
    <t>Secured &amp; Unsecured Property Tax Increment</t>
  </si>
  <si>
    <t>Supplemental &amp; Unitary Property Tax Increment</t>
  </si>
  <si>
    <t>Deposit totals</t>
  </si>
  <si>
    <t>Available Property Tax Increment Balance</t>
  </si>
  <si>
    <t>H&amp;S Code 34183 Distributions</t>
  </si>
  <si>
    <t>Administrative Fees to County Auditor-Controller</t>
  </si>
  <si>
    <t>SB2557 Administration Fees</t>
  </si>
  <si>
    <t>ERAF Passthrough Payments</t>
  </si>
  <si>
    <t>City Passthrough Payments</t>
  </si>
  <si>
    <t>County Passthrough Payments</t>
  </si>
  <si>
    <t>Special District Passthrough Payments</t>
  </si>
  <si>
    <t>K-12 School Passthrough Payments - Tax Portion</t>
  </si>
  <si>
    <t>K-12 School Passthrough Payments - Facilities Portion</t>
  </si>
  <si>
    <t>K-12 School Passthrough Payments - H&amp;S Code 33401</t>
  </si>
  <si>
    <t>Community College Passthrough Payments - Tax Portion</t>
  </si>
  <si>
    <t>Community College Passthrough Payments - Facilities Portion</t>
  </si>
  <si>
    <t>Community College Passthrough Payments - H&amp;S Code 33401</t>
  </si>
  <si>
    <t>County Office of Education - Tax Portion</t>
  </si>
  <si>
    <t>County Office of Education - Facilities Portion</t>
  </si>
  <si>
    <t>County Office of Education - H&amp;S Code 33401</t>
  </si>
  <si>
    <t>ROPS Enforceable Obligations Payable from Property Taxes (Includes Successor Agency Administrative Budget.  If different from amount of Finance-approved ROPS, provide comments in ROPS Comments section below.</t>
  </si>
  <si>
    <t>SCO Invoices for Audit and Oversight</t>
  </si>
  <si>
    <t>H&amp;S Code 34183 Dist Totals</t>
  </si>
  <si>
    <t>Residual Balance</t>
  </si>
  <si>
    <t xml:space="preserve">HSC section 34183 (a) (4) Residual Distributions </t>
  </si>
  <si>
    <t>(Figures should include the effect of any HSC section 34188 "haircutting")</t>
  </si>
  <si>
    <t>Residual Balance to Cities</t>
  </si>
  <si>
    <t>Residual Balance to Counties</t>
  </si>
  <si>
    <t>Residual Balance to Special Districts</t>
  </si>
  <si>
    <t>Residual Balance to K-12 Schools</t>
  </si>
  <si>
    <t>Residual Balance to Community Colleges</t>
  </si>
  <si>
    <t>County Office of Education</t>
  </si>
  <si>
    <t>ERAF</t>
  </si>
  <si>
    <t>Ending RPTTF Balance  (MUST be $0 in all cases)</t>
  </si>
  <si>
    <t>Amounts Gained or Lost via HSC section 34188 "haircutting" - Use positive or negative sums as appropriate (Totals must net to zero)</t>
  </si>
  <si>
    <t xml:space="preserve">Cities </t>
  </si>
  <si>
    <t>Counties</t>
  </si>
  <si>
    <t xml:space="preserve">Special Districts </t>
  </si>
  <si>
    <t xml:space="preserve">K-12 Schools </t>
  </si>
  <si>
    <t>Community Colleges</t>
  </si>
  <si>
    <t>Total "Haircut" Amounts</t>
  </si>
  <si>
    <t>Comments:</t>
  </si>
  <si>
    <t>* La Mesa RDA &amp; Oceanside RDA did not make the full demanded payment; therefore the ROPS approved amount was adjusted to calculate the residual balance with the actual payment received from the former RDA.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</si>
</sst>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 vertical="top" wrapText="1"/>
    </xf>
    <xf numFmtId="0" fontId="4" fillId="0" borderId="0" xfId="0" applyFont="1"/>
    <xf numFmtId="1" fontId="5" fillId="3" borderId="0" xfId="2" applyNumberFormat="1" applyFont="1" applyFill="1"/>
    <xf numFmtId="164" fontId="5" fillId="0" borderId="0" xfId="1" applyNumberFormat="1" applyFont="1"/>
    <xf numFmtId="43" fontId="5" fillId="0" borderId="0" xfId="1" applyNumberFormat="1" applyFont="1"/>
    <xf numFmtId="164" fontId="6" fillId="0" borderId="0" xfId="1" applyNumberFormat="1" applyFont="1"/>
    <xf numFmtId="164" fontId="3" fillId="0" borderId="0" xfId="0" applyNumberFormat="1" applyFont="1"/>
    <xf numFmtId="164" fontId="5" fillId="3" borderId="0" xfId="1" applyNumberFormat="1" applyFont="1" applyFill="1"/>
    <xf numFmtId="164" fontId="5" fillId="3" borderId="2" xfId="1" applyNumberFormat="1" applyFont="1" applyFill="1" applyBorder="1"/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4" fontId="5" fillId="0" borderId="0" xfId="1" applyNumberFormat="1" applyFont="1" applyFill="1"/>
    <xf numFmtId="164" fontId="7" fillId="0" borderId="0" xfId="1" applyNumberFormat="1" applyFont="1" applyFill="1"/>
    <xf numFmtId="164" fontId="5" fillId="0" borderId="1" xfId="1" applyNumberFormat="1" applyFont="1" applyBorder="1"/>
    <xf numFmtId="164" fontId="3" fillId="0" borderId="1" xfId="0" applyNumberFormat="1" applyFont="1" applyBorder="1"/>
    <xf numFmtId="164" fontId="5" fillId="4" borderId="0" xfId="1" applyNumberFormat="1" applyFont="1" applyFill="1" applyAlignment="1"/>
    <xf numFmtId="0" fontId="3" fillId="0" borderId="0" xfId="0" applyFont="1" applyFill="1"/>
    <xf numFmtId="164" fontId="5" fillId="0" borderId="0" xfId="1" applyNumberFormat="1" applyFont="1" applyBorder="1"/>
    <xf numFmtId="164" fontId="5" fillId="4" borderId="0" xfId="1" applyNumberFormat="1" applyFont="1" applyFill="1"/>
    <xf numFmtId="1" fontId="5" fillId="3" borderId="3" xfId="1" applyNumberFormat="1" applyFont="1" applyFill="1" applyBorder="1"/>
    <xf numFmtId="1" fontId="3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0" xfId="0" applyNumberFormat="1" applyFont="1" applyFill="1"/>
    <xf numFmtId="2" fontId="3" fillId="0" borderId="0" xfId="0" applyNumberFormat="1" applyFont="1"/>
    <xf numFmtId="2" fontId="3" fillId="0" borderId="0" xfId="0" applyNumberFormat="1" applyFont="1" applyFill="1"/>
    <xf numFmtId="3" fontId="3" fillId="5" borderId="0" xfId="0" applyNumberFormat="1" applyFont="1" applyFill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horizontal="left" wrapText="1"/>
    </xf>
  </cellXfs>
  <cellStyles count="6">
    <cellStyle name="Comma" xfId="1" builtinId="3"/>
    <cellStyle name="Currency" xfId="2" builtinId="4"/>
    <cellStyle name="Hyperlink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TS/CRA/RDA%20Successor%20Agency/DOF%20Report%20Filing/FY2012-13/2012-10-01%20RPTTF%20Estimate/San%20Diego%20County%20Reporting%20Form%20to%20DOF%20HSC34182(d)_Oct%201st%202012_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June ROPS"/>
      <sheetName val="July-Dec ROP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tabSelected="1" view="pageBreakPreview" zoomScale="55" zoomScaleNormal="70" zoomScaleSheetLayoutView="55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F28" sqref="F28"/>
    </sheetView>
  </sheetViews>
  <sheetFormatPr defaultColWidth="9.109375" defaultRowHeight="14.4" x14ac:dyDescent="0.3"/>
  <cols>
    <col min="1" max="1" width="11.44140625" style="2" customWidth="1"/>
    <col min="2" max="2" width="72.109375" style="2" customWidth="1"/>
    <col min="3" max="3" width="29.109375" style="2" customWidth="1"/>
    <col min="4" max="4" width="25.44140625" style="2" bestFit="1" customWidth="1"/>
    <col min="5" max="8" width="22.44140625" style="2" customWidth="1"/>
    <col min="9" max="9" width="25.44140625" style="2" bestFit="1" customWidth="1"/>
    <col min="10" max="13" width="22.44140625" style="2" customWidth="1"/>
    <col min="14" max="14" width="25.44140625" style="2" bestFit="1" customWidth="1"/>
    <col min="15" max="18" width="22.44140625" style="2" customWidth="1"/>
    <col min="19" max="19" width="24.33203125" style="2" bestFit="1" customWidth="1"/>
    <col min="20" max="20" width="3" style="2" customWidth="1"/>
    <col min="21" max="21" width="17.109375" style="2" bestFit="1" customWidth="1"/>
    <col min="22" max="16384" width="9.109375" style="2"/>
  </cols>
  <sheetData>
    <row r="1" spans="1:21" x14ac:dyDescent="0.3">
      <c r="A1" s="1"/>
    </row>
    <row r="2" spans="1:21" s="1" customFormat="1" ht="17.25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s="1" customFormat="1" ht="17.2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s="1" customFormat="1" ht="18" customHeigh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1" ht="18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1" ht="18" customHeight="1" x14ac:dyDescent="0.3">
      <c r="A6" s="4"/>
      <c r="C6" s="5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6" t="s">
        <v>9</v>
      </c>
      <c r="J6" s="4" t="s">
        <v>10</v>
      </c>
      <c r="K6" s="5" t="s">
        <v>11</v>
      </c>
      <c r="L6" s="6" t="s">
        <v>12</v>
      </c>
      <c r="M6" s="4" t="s">
        <v>13</v>
      </c>
      <c r="N6" s="4" t="s">
        <v>14</v>
      </c>
      <c r="O6" s="4" t="s">
        <v>15</v>
      </c>
      <c r="P6" s="5" t="s">
        <v>16</v>
      </c>
      <c r="Q6" s="5" t="s">
        <v>17</v>
      </c>
      <c r="R6" s="4" t="s">
        <v>18</v>
      </c>
      <c r="S6" s="4" t="s">
        <v>19</v>
      </c>
      <c r="U6" s="7" t="s">
        <v>20</v>
      </c>
    </row>
    <row r="7" spans="1:21" ht="18" customHeight="1" x14ac:dyDescent="0.3">
      <c r="A7" s="4"/>
      <c r="B7" s="8" t="s">
        <v>21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U7" s="1"/>
    </row>
    <row r="8" spans="1:21" s="11" customFormat="1" ht="21.75" customHeight="1" x14ac:dyDescent="0.3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21" ht="21.75" customHeight="1" x14ac:dyDescent="0.3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21" x14ac:dyDescent="0.3">
      <c r="A10" s="13" t="s">
        <v>22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U10" s="14">
        <f>SUM(C10:T10)</f>
        <v>0</v>
      </c>
    </row>
    <row r="11" spans="1:21" x14ac:dyDescent="0.3">
      <c r="A11" s="1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U11" s="15"/>
    </row>
    <row r="12" spans="1:21" x14ac:dyDescent="0.3">
      <c r="A12" s="13" t="s">
        <v>23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U12" s="16"/>
    </row>
    <row r="13" spans="1:21" x14ac:dyDescent="0.3">
      <c r="B13" s="2" t="s">
        <v>24</v>
      </c>
      <c r="C13" s="17">
        <f>1940647.4-0</f>
        <v>1940647.4</v>
      </c>
      <c r="D13" s="15">
        <f>6750353.06-30657.63</f>
        <v>6719695.4299999997</v>
      </c>
      <c r="E13" s="15">
        <f>9710492.93-1790903.42</f>
        <v>7919589.5099999998</v>
      </c>
      <c r="F13" s="15">
        <f>8097950.8-356533.71</f>
        <v>7741417.0899999999</v>
      </c>
      <c r="G13" s="15">
        <f>12817534.81-0</f>
        <v>12817534.810000001</v>
      </c>
      <c r="H13" s="15">
        <f>3681601.05-0</f>
        <v>3681601.05</v>
      </c>
      <c r="I13" s="15">
        <f>2122428.65-82036.23</f>
        <v>2040392.42</v>
      </c>
      <c r="J13" s="15">
        <f>1766104.85-184126.69</f>
        <v>1581978.1600000001</v>
      </c>
      <c r="K13" s="15">
        <f>7259632.65-0</f>
        <v>7259632.6500000004</v>
      </c>
      <c r="L13" s="15">
        <f>5983598.87-0</f>
        <v>5983598.8700000001</v>
      </c>
      <c r="M13" s="15">
        <f>92848122.54-1382498.5</f>
        <v>91465624.040000007</v>
      </c>
      <c r="N13" s="15">
        <f>31100340.54-55640.19</f>
        <v>31044700.349999998</v>
      </c>
      <c r="O13" s="15">
        <f>5050905.67-0</f>
        <v>5050905.67</v>
      </c>
      <c r="P13" s="15">
        <f>21470111.03-0</f>
        <v>21470111.030000001</v>
      </c>
      <c r="Q13" s="15">
        <f>440965.93-0</f>
        <v>440965.93</v>
      </c>
      <c r="R13" s="15">
        <f>9910223.06-81382.37</f>
        <v>9828840.6900000013</v>
      </c>
      <c r="S13" s="15">
        <f>2363014.28-23957.95</f>
        <v>2339056.3299999996</v>
      </c>
      <c r="T13" s="18"/>
      <c r="U13" s="15">
        <f>SUM(C13:T13)</f>
        <v>219326291.43000001</v>
      </c>
    </row>
    <row r="14" spans="1:21" x14ac:dyDescent="0.3">
      <c r="B14" s="2" t="s">
        <v>25</v>
      </c>
      <c r="C14" s="15">
        <f>22615.55+35134.52+358.15</f>
        <v>58108.219999999994</v>
      </c>
      <c r="D14" s="15">
        <f>887665.98+97659.82+1401.63</f>
        <v>986727.43</v>
      </c>
      <c r="E14" s="15">
        <f>60213.98+202684.65+1781.55</f>
        <v>264680.18</v>
      </c>
      <c r="F14" s="15">
        <f>61921.08+88551.71+1488.21</f>
        <v>151961</v>
      </c>
      <c r="G14" s="15">
        <f>133778.49+140443.12+2366.21</f>
        <v>276587.82</v>
      </c>
      <c r="H14" s="15">
        <f>22323.23+102346.45+675.92</f>
        <v>125345.59999999999</v>
      </c>
      <c r="I14" s="15">
        <f>18792.08+158380.36+390.16</f>
        <v>177562.6</v>
      </c>
      <c r="J14" s="15">
        <f>13238.88+3979.77+325.08</f>
        <v>17543.73</v>
      </c>
      <c r="K14" s="15">
        <f>113737.34+193618.19+1346.41</f>
        <v>308701.94</v>
      </c>
      <c r="L14" s="15">
        <f>58610.74+85387.9+1103.21</f>
        <v>145101.84999999998</v>
      </c>
      <c r="M14" s="15">
        <f>680155.16+912008.65+17090.8</f>
        <v>1609254.61</v>
      </c>
      <c r="N14" s="15">
        <f>261800.19+570166.71+5721.54</f>
        <v>837688.44</v>
      </c>
      <c r="O14" s="15">
        <f>61004.64+64077.59+933.63</f>
        <v>126015.86</v>
      </c>
      <c r="P14" s="15">
        <f>184926.92+271593.71+3951.02</f>
        <v>460471.65</v>
      </c>
      <c r="Q14" s="15">
        <f>2208+27987.09+80.8</f>
        <v>30275.89</v>
      </c>
      <c r="R14" s="15">
        <f>66422.75+138113.02+1821.84</f>
        <v>206357.61</v>
      </c>
      <c r="S14" s="15">
        <f>11618.54+30506.16+315.24</f>
        <v>42439.939999999995</v>
      </c>
      <c r="T14" s="18"/>
      <c r="U14" s="15">
        <f>SUM(C14:T14)</f>
        <v>5824824.370000001</v>
      </c>
    </row>
    <row r="15" spans="1:21" x14ac:dyDescent="0.3">
      <c r="A15" s="13" t="s">
        <v>26</v>
      </c>
      <c r="C15" s="19">
        <f>SUM(C13:C14)</f>
        <v>1998755.6199999999</v>
      </c>
      <c r="D15" s="19">
        <f t="shared" ref="D15:R15" si="0">SUM(D13:D14)</f>
        <v>7706422.8599999994</v>
      </c>
      <c r="E15" s="19">
        <f t="shared" si="0"/>
        <v>8184269.6899999995</v>
      </c>
      <c r="F15" s="19">
        <f t="shared" si="0"/>
        <v>7893378.0899999999</v>
      </c>
      <c r="G15" s="19">
        <f t="shared" si="0"/>
        <v>13094122.630000001</v>
      </c>
      <c r="H15" s="19">
        <f>SUM(H13:H14)</f>
        <v>3806946.65</v>
      </c>
      <c r="I15" s="19">
        <f t="shared" si="0"/>
        <v>2217955.02</v>
      </c>
      <c r="J15" s="19">
        <f t="shared" si="0"/>
        <v>1599521.8900000001</v>
      </c>
      <c r="K15" s="19">
        <f t="shared" si="0"/>
        <v>7568334.5900000008</v>
      </c>
      <c r="L15" s="19">
        <f t="shared" si="0"/>
        <v>6128700.7199999997</v>
      </c>
      <c r="M15" s="19">
        <f t="shared" si="0"/>
        <v>93074878.650000006</v>
      </c>
      <c r="N15" s="19">
        <f t="shared" si="0"/>
        <v>31882388.789999999</v>
      </c>
      <c r="O15" s="19">
        <f t="shared" si="0"/>
        <v>5176921.53</v>
      </c>
      <c r="P15" s="19">
        <f t="shared" si="0"/>
        <v>21930582.68</v>
      </c>
      <c r="Q15" s="19">
        <f t="shared" si="0"/>
        <v>471241.82</v>
      </c>
      <c r="R15" s="19">
        <f t="shared" si="0"/>
        <v>10035198.300000001</v>
      </c>
      <c r="S15" s="19">
        <f>SUM(S13:S14)</f>
        <v>2381496.2699999996</v>
      </c>
      <c r="T15" s="18"/>
      <c r="U15" s="19">
        <f>SUM(U13:U14)</f>
        <v>225151115.80000001</v>
      </c>
    </row>
    <row r="16" spans="1:21" x14ac:dyDescent="0.3">
      <c r="A16" s="1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/>
      <c r="U16" s="18"/>
    </row>
    <row r="17" spans="1:21" x14ac:dyDescent="0.3">
      <c r="A17" s="13" t="s">
        <v>27</v>
      </c>
      <c r="C17" s="20">
        <f>C10+C15</f>
        <v>1998755.6199999999</v>
      </c>
      <c r="D17" s="20">
        <f t="shared" ref="D17:R17" si="1">D10+D15</f>
        <v>7706422.8599999994</v>
      </c>
      <c r="E17" s="20">
        <f t="shared" si="1"/>
        <v>8184269.6899999995</v>
      </c>
      <c r="F17" s="20">
        <f t="shared" si="1"/>
        <v>7893378.0899999999</v>
      </c>
      <c r="G17" s="20">
        <f t="shared" si="1"/>
        <v>13094122.630000001</v>
      </c>
      <c r="H17" s="20">
        <f t="shared" si="1"/>
        <v>3806946.65</v>
      </c>
      <c r="I17" s="20">
        <f t="shared" si="1"/>
        <v>2217955.02</v>
      </c>
      <c r="J17" s="20">
        <f t="shared" si="1"/>
        <v>1599521.8900000001</v>
      </c>
      <c r="K17" s="20">
        <f t="shared" si="1"/>
        <v>7568334.5900000008</v>
      </c>
      <c r="L17" s="20">
        <f t="shared" si="1"/>
        <v>6128700.7199999997</v>
      </c>
      <c r="M17" s="20">
        <f t="shared" si="1"/>
        <v>93074878.650000006</v>
      </c>
      <c r="N17" s="20">
        <f t="shared" si="1"/>
        <v>31882388.789999999</v>
      </c>
      <c r="O17" s="20">
        <f t="shared" si="1"/>
        <v>5176921.53</v>
      </c>
      <c r="P17" s="20">
        <f t="shared" si="1"/>
        <v>21930582.68</v>
      </c>
      <c r="Q17" s="20">
        <f t="shared" si="1"/>
        <v>471241.82</v>
      </c>
      <c r="R17" s="20">
        <f t="shared" si="1"/>
        <v>10035198.300000001</v>
      </c>
      <c r="S17" s="20">
        <f>S10+S15</f>
        <v>2381496.2699999996</v>
      </c>
      <c r="T17" s="18"/>
      <c r="U17" s="20">
        <f>U10+U15</f>
        <v>225151115.80000001</v>
      </c>
    </row>
    <row r="18" spans="1:21" x14ac:dyDescent="0.3">
      <c r="A18" s="1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8"/>
      <c r="U18" s="18"/>
    </row>
    <row r="19" spans="1:21" x14ac:dyDescent="0.3">
      <c r="A19" s="13" t="s">
        <v>28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8"/>
      <c r="U19" s="18"/>
    </row>
    <row r="20" spans="1:21" x14ac:dyDescent="0.3">
      <c r="B20" s="21" t="s">
        <v>29</v>
      </c>
      <c r="C20" s="15">
        <v>11666.61</v>
      </c>
      <c r="D20" s="15">
        <v>65696.490000000005</v>
      </c>
      <c r="E20" s="15">
        <v>7291.63</v>
      </c>
      <c r="F20" s="15">
        <v>14602.43</v>
      </c>
      <c r="G20" s="15">
        <v>7318.47</v>
      </c>
      <c r="H20" s="15">
        <v>14616.74</v>
      </c>
      <c r="I20" s="15">
        <v>21913.23</v>
      </c>
      <c r="J20" s="15">
        <v>7318.47</v>
      </c>
      <c r="K20" s="15">
        <v>52535.65</v>
      </c>
      <c r="L20" s="15">
        <v>7291.63</v>
      </c>
      <c r="M20" s="15">
        <v>131459.94</v>
      </c>
      <c r="N20" s="15">
        <v>21978.41</v>
      </c>
      <c r="O20" s="15">
        <v>14600</v>
      </c>
      <c r="P20" s="15">
        <v>7329.97</v>
      </c>
      <c r="Q20" s="15">
        <v>7308.3</v>
      </c>
      <c r="R20" s="15">
        <v>11704.95</v>
      </c>
      <c r="S20" s="15">
        <v>14583.26</v>
      </c>
      <c r="T20" s="18"/>
      <c r="U20" s="15">
        <f>SUM(C20:T20)</f>
        <v>419216.18</v>
      </c>
    </row>
    <row r="21" spans="1:21" x14ac:dyDescent="0.3">
      <c r="B21" s="21" t="s">
        <v>30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8"/>
      <c r="U21" s="15">
        <f t="shared" ref="U21:U34" si="2">SUM(C21:T21)</f>
        <v>0</v>
      </c>
    </row>
    <row r="22" spans="1:21" ht="15.75" customHeight="1" x14ac:dyDescent="0.3">
      <c r="B22" s="22" t="s">
        <v>31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8"/>
      <c r="U22" s="15">
        <f t="shared" si="2"/>
        <v>0</v>
      </c>
    </row>
    <row r="23" spans="1:21" x14ac:dyDescent="0.3">
      <c r="B23" s="21" t="s">
        <v>32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8"/>
      <c r="U23" s="15">
        <f t="shared" si="2"/>
        <v>0</v>
      </c>
    </row>
    <row r="24" spans="1:21" x14ac:dyDescent="0.3">
      <c r="B24" s="21" t="s">
        <v>33</v>
      </c>
      <c r="C24" s="15"/>
      <c r="D24" s="15"/>
      <c r="E24" s="15"/>
      <c r="F24" s="15">
        <v>396878</v>
      </c>
      <c r="G24" s="15">
        <v>1814518</v>
      </c>
      <c r="H24" s="15"/>
      <c r="I24" s="15"/>
      <c r="J24" s="15">
        <v>333404</v>
      </c>
      <c r="K24" s="15"/>
      <c r="L24" s="15"/>
      <c r="M24" s="15"/>
      <c r="N24" s="15">
        <v>405113</v>
      </c>
      <c r="O24" s="15"/>
      <c r="P24" s="15"/>
      <c r="Q24" s="15"/>
      <c r="R24" s="15">
        <v>1233503</v>
      </c>
      <c r="S24" s="15"/>
      <c r="T24" s="18"/>
      <c r="U24" s="15">
        <f t="shared" si="2"/>
        <v>4183416</v>
      </c>
    </row>
    <row r="25" spans="1:21" x14ac:dyDescent="0.3">
      <c r="B25" s="21" t="s">
        <v>34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8"/>
      <c r="U25" s="15">
        <f t="shared" si="2"/>
        <v>0</v>
      </c>
    </row>
    <row r="26" spans="1:21" x14ac:dyDescent="0.3">
      <c r="B26" s="21" t="s">
        <v>35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8"/>
      <c r="U26" s="15">
        <f t="shared" si="2"/>
        <v>0</v>
      </c>
    </row>
    <row r="27" spans="1:21" x14ac:dyDescent="0.3">
      <c r="B27" s="21" t="s">
        <v>36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8"/>
      <c r="U27" s="15">
        <f t="shared" si="2"/>
        <v>0</v>
      </c>
    </row>
    <row r="28" spans="1:21" x14ac:dyDescent="0.3">
      <c r="B28" s="21" t="s">
        <v>37</v>
      </c>
      <c r="C28" s="15"/>
      <c r="D28" s="15"/>
      <c r="E28" s="15"/>
      <c r="F28" s="15">
        <v>1158286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>
        <v>872777</v>
      </c>
      <c r="S28" s="15">
        <v>147344</v>
      </c>
      <c r="T28" s="18"/>
      <c r="U28" s="15">
        <f t="shared" si="2"/>
        <v>2178407</v>
      </c>
    </row>
    <row r="29" spans="1:21" x14ac:dyDescent="0.3">
      <c r="B29" s="21" t="s">
        <v>38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8"/>
      <c r="U29" s="15">
        <f t="shared" si="2"/>
        <v>0</v>
      </c>
    </row>
    <row r="30" spans="1:21" x14ac:dyDescent="0.3">
      <c r="B30" s="21" t="s">
        <v>39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8"/>
      <c r="U30" s="15">
        <f t="shared" si="2"/>
        <v>0</v>
      </c>
    </row>
    <row r="31" spans="1:21" x14ac:dyDescent="0.3">
      <c r="B31" s="21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8"/>
      <c r="U31" s="15">
        <f t="shared" si="2"/>
        <v>0</v>
      </c>
    </row>
    <row r="32" spans="1:21" x14ac:dyDescent="0.3">
      <c r="B32" s="21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8"/>
      <c r="U32" s="15">
        <f t="shared" si="2"/>
        <v>0</v>
      </c>
    </row>
    <row r="33" spans="1:21" x14ac:dyDescent="0.3">
      <c r="B33" s="21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8"/>
      <c r="U33" s="15">
        <f t="shared" si="2"/>
        <v>0</v>
      </c>
    </row>
    <row r="34" spans="1:21" x14ac:dyDescent="0.3">
      <c r="B34" s="21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>
        <v>5733</v>
      </c>
      <c r="T34" s="18"/>
      <c r="U34" s="15">
        <f t="shared" si="2"/>
        <v>5733</v>
      </c>
    </row>
    <row r="35" spans="1:21" ht="45" customHeight="1" x14ac:dyDescent="0.3">
      <c r="B35" s="23" t="s">
        <v>44</v>
      </c>
      <c r="C35" s="24">
        <v>1558588</v>
      </c>
      <c r="D35" s="24">
        <v>2111353</v>
      </c>
      <c r="E35" s="15">
        <v>5786714</v>
      </c>
      <c r="F35" s="24">
        <v>2446961</v>
      </c>
      <c r="G35" s="15">
        <v>1127234</v>
      </c>
      <c r="H35" s="24">
        <f>3997029-576814</f>
        <v>3420215</v>
      </c>
      <c r="I35" s="25">
        <f>239636+1001166.77</f>
        <v>1240802.77</v>
      </c>
      <c r="J35" s="15">
        <v>701745</v>
      </c>
      <c r="K35" s="24">
        <v>3242966</v>
      </c>
      <c r="L35" s="25">
        <v>4593711.09</v>
      </c>
      <c r="M35" s="15">
        <v>3298968</v>
      </c>
      <c r="N35" s="24">
        <v>11886039</v>
      </c>
      <c r="O35" s="15">
        <v>0</v>
      </c>
      <c r="P35" s="24">
        <v>18618313</v>
      </c>
      <c r="Q35" s="15">
        <f>480235-16301.48</f>
        <v>463933.52</v>
      </c>
      <c r="R35" s="15">
        <v>879700</v>
      </c>
      <c r="S35" s="15">
        <v>0</v>
      </c>
      <c r="T35" s="18"/>
      <c r="U35" s="15">
        <f>SUM(C35:T35)</f>
        <v>61377243.380000003</v>
      </c>
    </row>
    <row r="36" spans="1:21" ht="15" customHeight="1" x14ac:dyDescent="0.3">
      <c r="B36" s="21" t="s">
        <v>45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8"/>
      <c r="U36" s="27"/>
    </row>
    <row r="37" spans="1:21" x14ac:dyDescent="0.3">
      <c r="A37" s="13" t="s">
        <v>46</v>
      </c>
      <c r="B37" s="11"/>
      <c r="C37" s="28">
        <f>SUM(C20:C36)</f>
        <v>1570254.61</v>
      </c>
      <c r="D37" s="28">
        <f t="shared" ref="D37:R37" si="3">SUM(D20:D36)</f>
        <v>2177049.4900000002</v>
      </c>
      <c r="E37" s="28">
        <f t="shared" si="3"/>
        <v>5794005.6299999999</v>
      </c>
      <c r="F37" s="28">
        <f t="shared" si="3"/>
        <v>4016727.4299999997</v>
      </c>
      <c r="G37" s="28">
        <f t="shared" si="3"/>
        <v>2949070.4699999997</v>
      </c>
      <c r="H37" s="28">
        <f t="shared" si="3"/>
        <v>3434831.74</v>
      </c>
      <c r="I37" s="28">
        <f>SUM(I20:I36)</f>
        <v>1262716</v>
      </c>
      <c r="J37" s="28">
        <f t="shared" si="3"/>
        <v>1042467.47</v>
      </c>
      <c r="K37" s="28">
        <f t="shared" si="3"/>
        <v>3295501.65</v>
      </c>
      <c r="L37" s="28">
        <f t="shared" si="3"/>
        <v>4601002.72</v>
      </c>
      <c r="M37" s="28">
        <f t="shared" si="3"/>
        <v>3430427.94</v>
      </c>
      <c r="N37" s="28">
        <f t="shared" si="3"/>
        <v>12313130.41</v>
      </c>
      <c r="O37" s="28">
        <f t="shared" si="3"/>
        <v>14600</v>
      </c>
      <c r="P37" s="28">
        <f>SUM(P20:P36)</f>
        <v>18625642.969999999</v>
      </c>
      <c r="Q37" s="28">
        <f>SUM(Q20:Q36)</f>
        <v>471241.82</v>
      </c>
      <c r="R37" s="28">
        <f t="shared" si="3"/>
        <v>2997684.95</v>
      </c>
      <c r="S37" s="28">
        <f>SUM(S20:S36)</f>
        <v>167660.26</v>
      </c>
      <c r="T37" s="18"/>
      <c r="U37" s="28">
        <f>SUM(U20:U36)</f>
        <v>68164015.560000002</v>
      </c>
    </row>
    <row r="38" spans="1:21" x14ac:dyDescent="0.3">
      <c r="A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8"/>
      <c r="U38" s="18"/>
    </row>
    <row r="39" spans="1:21" x14ac:dyDescent="0.3">
      <c r="A39" s="13" t="s">
        <v>47</v>
      </c>
      <c r="C39" s="20">
        <f>C17-C37</f>
        <v>428501.00999999978</v>
      </c>
      <c r="D39" s="20">
        <f t="shared" ref="D39:S39" si="4">D17-D37</f>
        <v>5529373.3699999992</v>
      </c>
      <c r="E39" s="20">
        <f t="shared" si="4"/>
        <v>2390264.0599999996</v>
      </c>
      <c r="F39" s="20">
        <f t="shared" si="4"/>
        <v>3876650.66</v>
      </c>
      <c r="G39" s="20">
        <f t="shared" si="4"/>
        <v>10145052.16</v>
      </c>
      <c r="H39" s="20">
        <f>H17-H37</f>
        <v>372114.90999999968</v>
      </c>
      <c r="I39" s="20">
        <f t="shared" si="4"/>
        <v>955239.02</v>
      </c>
      <c r="J39" s="20">
        <f t="shared" si="4"/>
        <v>557054.42000000016</v>
      </c>
      <c r="K39" s="20">
        <f t="shared" si="4"/>
        <v>4272832.9400000013</v>
      </c>
      <c r="L39" s="20">
        <f t="shared" si="4"/>
        <v>1527698</v>
      </c>
      <c r="M39" s="20">
        <f t="shared" si="4"/>
        <v>89644450.710000008</v>
      </c>
      <c r="N39" s="20">
        <f t="shared" si="4"/>
        <v>19569258.379999999</v>
      </c>
      <c r="O39" s="20">
        <f t="shared" si="4"/>
        <v>5162321.53</v>
      </c>
      <c r="P39" s="20">
        <f>P17-P37</f>
        <v>3304939.7100000009</v>
      </c>
      <c r="Q39" s="20">
        <f>Q17-Q37</f>
        <v>0</v>
      </c>
      <c r="R39" s="20">
        <f t="shared" si="4"/>
        <v>7037513.3500000006</v>
      </c>
      <c r="S39" s="20">
        <f t="shared" si="4"/>
        <v>2213836.0099999998</v>
      </c>
      <c r="T39" s="18"/>
      <c r="U39" s="20">
        <f>U17-U37</f>
        <v>156987100.24000001</v>
      </c>
    </row>
    <row r="40" spans="1:21" x14ac:dyDescent="0.3">
      <c r="A40" s="1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8"/>
      <c r="U40" s="18"/>
    </row>
    <row r="41" spans="1:21" x14ac:dyDescent="0.3">
      <c r="A41" s="13" t="s">
        <v>48</v>
      </c>
      <c r="B41" s="29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8"/>
      <c r="U41" s="18"/>
    </row>
    <row r="42" spans="1:21" x14ac:dyDescent="0.3">
      <c r="A42" s="13" t="s">
        <v>49</v>
      </c>
      <c r="B42" s="29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8"/>
      <c r="U42" s="18"/>
    </row>
    <row r="43" spans="1:21" x14ac:dyDescent="0.3">
      <c r="B43" s="21" t="s">
        <v>50</v>
      </c>
      <c r="C43" s="15">
        <v>101752.55</v>
      </c>
      <c r="D43" s="15">
        <v>1035772.17</v>
      </c>
      <c r="E43" s="15">
        <v>0</v>
      </c>
      <c r="F43" s="15">
        <v>496570.11</v>
      </c>
      <c r="G43" s="15">
        <v>1590350.47</v>
      </c>
      <c r="H43" s="15">
        <v>99863.91</v>
      </c>
      <c r="I43" s="15">
        <v>135339.19</v>
      </c>
      <c r="J43" s="15">
        <v>120935.34</v>
      </c>
      <c r="K43" s="15">
        <v>911581.69</v>
      </c>
      <c r="L43" s="15">
        <v>395004.1</v>
      </c>
      <c r="M43" s="15">
        <v>18711525.640000001</v>
      </c>
      <c r="N43" s="15">
        <v>1762404.87</v>
      </c>
      <c r="O43" s="15">
        <v>1181727.93</v>
      </c>
      <c r="P43" s="15">
        <v>717684.65</v>
      </c>
      <c r="Q43" s="15">
        <v>0</v>
      </c>
      <c r="R43" s="15">
        <v>1527319.49</v>
      </c>
      <c r="S43" s="15">
        <v>226500.27</v>
      </c>
      <c r="T43" s="18"/>
      <c r="U43" s="15">
        <f>SUM(C43:T43)</f>
        <v>29014332.379999999</v>
      </c>
    </row>
    <row r="44" spans="1:21" x14ac:dyDescent="0.3">
      <c r="B44" s="21" t="s">
        <v>51</v>
      </c>
      <c r="C44" s="15">
        <v>112366.87</v>
      </c>
      <c r="D44" s="15">
        <v>1462859.09</v>
      </c>
      <c r="E44" s="15">
        <v>0</v>
      </c>
      <c r="F44" s="15">
        <v>991749.66</v>
      </c>
      <c r="G44" s="15">
        <v>1600490.49</v>
      </c>
      <c r="H44" s="15">
        <v>87284.92</v>
      </c>
      <c r="I44" s="15">
        <v>249461.16</v>
      </c>
      <c r="J44" s="15">
        <v>0</v>
      </c>
      <c r="K44" s="15">
        <v>1063084.3799999999</v>
      </c>
      <c r="L44" s="15">
        <v>351656.62</v>
      </c>
      <c r="M44" s="15">
        <v>23370688.390000001</v>
      </c>
      <c r="N44" s="15">
        <v>5699550.2199999997</v>
      </c>
      <c r="O44" s="15">
        <v>1067583.17</v>
      </c>
      <c r="P44" s="15">
        <v>897120.6</v>
      </c>
      <c r="Q44" s="15">
        <v>0</v>
      </c>
      <c r="R44" s="15">
        <v>1504009.15</v>
      </c>
      <c r="S44" s="15">
        <v>521878.08</v>
      </c>
      <c r="T44" s="18"/>
      <c r="U44" s="15">
        <f>SUM(C44:T44)</f>
        <v>38979782.800000004</v>
      </c>
    </row>
    <row r="45" spans="1:21" x14ac:dyDescent="0.3">
      <c r="B45" s="21" t="s">
        <v>52</v>
      </c>
      <c r="C45" s="15">
        <v>15882.74</v>
      </c>
      <c r="D45" s="15">
        <v>44643.83</v>
      </c>
      <c r="E45" s="15">
        <v>0</v>
      </c>
      <c r="F45" s="15">
        <v>136309.01</v>
      </c>
      <c r="G45" s="15">
        <v>387746.71</v>
      </c>
      <c r="H45" s="15">
        <v>10.83</v>
      </c>
      <c r="I45" s="15">
        <v>18263.18</v>
      </c>
      <c r="J45" s="15">
        <v>13730.16</v>
      </c>
      <c r="K45" s="15">
        <v>19862.219999999998</v>
      </c>
      <c r="L45" s="15">
        <v>31643.11</v>
      </c>
      <c r="M45" s="15">
        <v>152555.13999999998</v>
      </c>
      <c r="N45" s="15">
        <v>2592247.31</v>
      </c>
      <c r="O45" s="15">
        <v>225836.33999999997</v>
      </c>
      <c r="P45" s="15">
        <v>103116.70000000001</v>
      </c>
      <c r="Q45" s="15">
        <v>0</v>
      </c>
      <c r="R45" s="15">
        <v>257072.75</v>
      </c>
      <c r="S45" s="15">
        <v>286820.05</v>
      </c>
      <c r="T45" s="18"/>
      <c r="U45" s="15">
        <f t="shared" ref="U45:U48" si="5">SUM(C45:T45)</f>
        <v>4285740.08</v>
      </c>
    </row>
    <row r="46" spans="1:21" x14ac:dyDescent="0.3">
      <c r="B46" s="21" t="s">
        <v>53</v>
      </c>
      <c r="C46" s="15">
        <v>146219.54</v>
      </c>
      <c r="D46" s="15">
        <v>2615441.0499999998</v>
      </c>
      <c r="E46" s="15">
        <v>2390264.0599999996</v>
      </c>
      <c r="F46" s="15">
        <v>1833374.66</v>
      </c>
      <c r="G46" s="15">
        <v>5585120.0700000003</v>
      </c>
      <c r="H46" s="15">
        <v>162152.28</v>
      </c>
      <c r="I46" s="15">
        <v>451982.65</v>
      </c>
      <c r="J46" s="15">
        <v>343348.2</v>
      </c>
      <c r="K46" s="15">
        <v>1984885.88</v>
      </c>
      <c r="L46" s="15">
        <v>585794.63</v>
      </c>
      <c r="M46" s="15">
        <v>40222297.860000007</v>
      </c>
      <c r="N46" s="15">
        <v>7631768.4699999997</v>
      </c>
      <c r="O46" s="15">
        <v>2248287.6</v>
      </c>
      <c r="P46" s="15">
        <v>1306478.3500000001</v>
      </c>
      <c r="Q46" s="15">
        <v>0</v>
      </c>
      <c r="R46" s="15">
        <v>2972655.29</v>
      </c>
      <c r="S46" s="15">
        <v>953956.6</v>
      </c>
      <c r="T46" s="18"/>
      <c r="U46" s="15">
        <f t="shared" si="5"/>
        <v>71434027.189999998</v>
      </c>
    </row>
    <row r="47" spans="1:21" x14ac:dyDescent="0.3">
      <c r="B47" s="21" t="s">
        <v>54</v>
      </c>
      <c r="C47" s="30">
        <v>40169.21</v>
      </c>
      <c r="D47" s="15">
        <v>276284.53999999998</v>
      </c>
      <c r="E47" s="15">
        <v>0</v>
      </c>
      <c r="F47" s="30">
        <v>361869.41</v>
      </c>
      <c r="G47" s="15">
        <v>727518.7</v>
      </c>
      <c r="H47" s="30">
        <v>15771.56</v>
      </c>
      <c r="I47" s="15">
        <v>86960.3</v>
      </c>
      <c r="J47" s="15">
        <v>64998.99</v>
      </c>
      <c r="K47" s="30">
        <v>203027.5</v>
      </c>
      <c r="L47" s="15">
        <v>125710.51</v>
      </c>
      <c r="M47" s="30">
        <v>5754904.8000000007</v>
      </c>
      <c r="N47" s="15">
        <v>1308554.6299999999</v>
      </c>
      <c r="O47" s="15">
        <v>361791.55</v>
      </c>
      <c r="P47" s="30">
        <v>224223.67</v>
      </c>
      <c r="Q47" s="15">
        <v>0</v>
      </c>
      <c r="R47" s="30">
        <v>542198.22</v>
      </c>
      <c r="S47" s="15">
        <v>193125.59</v>
      </c>
      <c r="T47" s="18"/>
      <c r="U47" s="15">
        <f t="shared" si="5"/>
        <v>10287109.180000002</v>
      </c>
    </row>
    <row r="48" spans="1:21" x14ac:dyDescent="0.3">
      <c r="B48" s="22" t="s">
        <v>55</v>
      </c>
      <c r="C48" s="30">
        <v>12110.1</v>
      </c>
      <c r="D48" s="30">
        <v>94372.69</v>
      </c>
      <c r="E48" s="30">
        <v>0</v>
      </c>
      <c r="F48" s="30">
        <v>56777.81</v>
      </c>
      <c r="G48" s="30">
        <v>253825.72</v>
      </c>
      <c r="H48" s="30">
        <v>7031.41</v>
      </c>
      <c r="I48" s="30">
        <v>13232.54</v>
      </c>
      <c r="J48" s="30">
        <v>14041.73</v>
      </c>
      <c r="K48" s="30">
        <v>90391.27</v>
      </c>
      <c r="L48" s="30">
        <v>37889.03</v>
      </c>
      <c r="M48" s="30">
        <v>1432478.88</v>
      </c>
      <c r="N48" s="30">
        <v>574732.88</v>
      </c>
      <c r="O48" s="30">
        <v>77094.94</v>
      </c>
      <c r="P48" s="30">
        <v>56315.74</v>
      </c>
      <c r="Q48" s="30">
        <v>0</v>
      </c>
      <c r="R48" s="30">
        <v>234258.45</v>
      </c>
      <c r="S48" s="15">
        <v>31555.42</v>
      </c>
      <c r="T48" s="18"/>
      <c r="U48" s="15">
        <f t="shared" si="5"/>
        <v>2986108.61</v>
      </c>
    </row>
    <row r="49" spans="1:21" x14ac:dyDescent="0.3">
      <c r="B49" s="22" t="s">
        <v>56</v>
      </c>
      <c r="C49" s="30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8"/>
      <c r="U49" s="18"/>
    </row>
    <row r="50" spans="1:21" x14ac:dyDescent="0.3">
      <c r="C50" s="31">
        <f>SUM(C43:C49)</f>
        <v>428501.00999999995</v>
      </c>
      <c r="D50" s="31">
        <f t="shared" ref="D50:G50" si="6">SUM(D43:D49)</f>
        <v>5529373.370000001</v>
      </c>
      <c r="E50" s="31">
        <f>SUM(E43:E49)</f>
        <v>2390264.0599999996</v>
      </c>
      <c r="F50" s="31">
        <f>SUM(F43:F49)</f>
        <v>3876650.66</v>
      </c>
      <c r="G50" s="31">
        <f t="shared" si="6"/>
        <v>10145052.16</v>
      </c>
      <c r="H50" s="31">
        <f>SUM(H43:H49)</f>
        <v>372114.91</v>
      </c>
      <c r="I50" s="31">
        <f t="shared" ref="I50:U50" si="7">SUM(I43:I49)</f>
        <v>955239.02</v>
      </c>
      <c r="J50" s="31">
        <f t="shared" si="7"/>
        <v>557054.42000000004</v>
      </c>
      <c r="K50" s="31">
        <f t="shared" si="7"/>
        <v>4272832.9399999995</v>
      </c>
      <c r="L50" s="31">
        <f t="shared" si="7"/>
        <v>1527698</v>
      </c>
      <c r="M50" s="31">
        <f t="shared" si="7"/>
        <v>89644450.709999993</v>
      </c>
      <c r="N50" s="31">
        <f t="shared" si="7"/>
        <v>19569258.379999999</v>
      </c>
      <c r="O50" s="31">
        <f t="shared" si="7"/>
        <v>5162321.5299999993</v>
      </c>
      <c r="P50" s="31">
        <f t="shared" si="7"/>
        <v>3304939.71</v>
      </c>
      <c r="Q50" s="31">
        <f>SUM(Q43:Q49)</f>
        <v>0</v>
      </c>
      <c r="R50" s="31">
        <f t="shared" si="7"/>
        <v>7037513.3499999996</v>
      </c>
      <c r="S50" s="31">
        <f t="shared" si="7"/>
        <v>2213836.0099999998</v>
      </c>
      <c r="T50" s="18"/>
      <c r="U50" s="31">
        <f t="shared" si="7"/>
        <v>156987100.24000001</v>
      </c>
    </row>
    <row r="51" spans="1:21" x14ac:dyDescent="0.3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8"/>
      <c r="U51" s="18"/>
    </row>
    <row r="52" spans="1:21" ht="15" thickBot="1" x14ac:dyDescent="0.35">
      <c r="A52" s="13" t="s">
        <v>57</v>
      </c>
      <c r="C52" s="32">
        <f>C39-C50</f>
        <v>0</v>
      </c>
      <c r="D52" s="32">
        <f t="shared" ref="D52:G52" si="8">D39-D50</f>
        <v>0</v>
      </c>
      <c r="E52" s="32">
        <f t="shared" si="8"/>
        <v>0</v>
      </c>
      <c r="F52" s="32">
        <f t="shared" si="8"/>
        <v>0</v>
      </c>
      <c r="G52" s="32">
        <f t="shared" si="8"/>
        <v>0</v>
      </c>
      <c r="H52" s="32">
        <f>H39-H50</f>
        <v>0</v>
      </c>
      <c r="I52" s="32">
        <f t="shared" ref="I52:S52" si="9">I39-I50</f>
        <v>0</v>
      </c>
      <c r="J52" s="32">
        <f t="shared" si="9"/>
        <v>0</v>
      </c>
      <c r="K52" s="32">
        <f t="shared" si="9"/>
        <v>0</v>
      </c>
      <c r="L52" s="32">
        <f t="shared" si="9"/>
        <v>0</v>
      </c>
      <c r="M52" s="32">
        <f t="shared" si="9"/>
        <v>0</v>
      </c>
      <c r="N52" s="32">
        <f t="shared" si="9"/>
        <v>0</v>
      </c>
      <c r="O52" s="32">
        <f t="shared" si="9"/>
        <v>0</v>
      </c>
      <c r="P52" s="32">
        <f t="shared" si="9"/>
        <v>0</v>
      </c>
      <c r="Q52" s="32">
        <f t="shared" si="9"/>
        <v>0</v>
      </c>
      <c r="R52" s="32">
        <f t="shared" si="9"/>
        <v>0</v>
      </c>
      <c r="S52" s="32">
        <f t="shared" si="9"/>
        <v>0</v>
      </c>
      <c r="T52" s="33"/>
      <c r="U52" s="32">
        <f>U39-U50</f>
        <v>0</v>
      </c>
    </row>
    <row r="53" spans="1:21" ht="15" thickTop="1" x14ac:dyDescent="0.3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x14ac:dyDescent="0.3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32.25" customHeight="1" x14ac:dyDescent="0.3">
      <c r="A55" s="34" t="s">
        <v>58</v>
      </c>
      <c r="B55" s="3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x14ac:dyDescent="0.3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x14ac:dyDescent="0.3">
      <c r="B57" s="2" t="s">
        <v>59</v>
      </c>
      <c r="C57" s="18"/>
      <c r="D57" s="18"/>
      <c r="E57" s="18"/>
      <c r="F57" s="18"/>
      <c r="G57" s="18">
        <v>194660.85</v>
      </c>
      <c r="H57" s="18"/>
      <c r="I57" s="18"/>
      <c r="J57" s="18">
        <v>25212.799999999999</v>
      </c>
      <c r="K57" s="18"/>
      <c r="L57" s="18"/>
      <c r="M57" s="18"/>
      <c r="N57" s="18"/>
      <c r="O57" s="18"/>
      <c r="P57" s="18"/>
      <c r="Q57" s="18"/>
      <c r="R57" s="18">
        <v>233259.07</v>
      </c>
      <c r="S57" s="18">
        <v>14054.52</v>
      </c>
      <c r="T57" s="18"/>
      <c r="U57" s="15">
        <f t="shared" ref="U57:U61" si="10">SUM(C57:T57)</f>
        <v>467187.24</v>
      </c>
    </row>
    <row r="58" spans="1:21" x14ac:dyDescent="0.3">
      <c r="B58" s="2" t="s">
        <v>60</v>
      </c>
      <c r="C58" s="18"/>
      <c r="D58" s="18"/>
      <c r="E58" s="18"/>
      <c r="F58" s="18"/>
      <c r="G58" s="18">
        <v>-1045864.83</v>
      </c>
      <c r="H58" s="18"/>
      <c r="I58" s="18"/>
      <c r="J58" s="18">
        <v>-116135.60999999999</v>
      </c>
      <c r="K58" s="18"/>
      <c r="L58" s="18"/>
      <c r="M58" s="18"/>
      <c r="N58" s="18"/>
      <c r="O58" s="18"/>
      <c r="P58" s="18"/>
      <c r="Q58" s="18"/>
      <c r="R58" s="18">
        <v>-416110.01</v>
      </c>
      <c r="S58" s="18">
        <v>32382.960000000003</v>
      </c>
      <c r="T58" s="18"/>
      <c r="U58" s="15">
        <f t="shared" si="10"/>
        <v>-1545727.49</v>
      </c>
    </row>
    <row r="59" spans="1:21" x14ac:dyDescent="0.3">
      <c r="B59" s="2" t="s">
        <v>61</v>
      </c>
      <c r="C59" s="18"/>
      <c r="D59" s="35"/>
      <c r="E59" s="18"/>
      <c r="F59" s="18"/>
      <c r="G59" s="18">
        <v>47460.659999999996</v>
      </c>
      <c r="H59" s="18"/>
      <c r="I59" s="35"/>
      <c r="J59" s="18">
        <v>2862.49</v>
      </c>
      <c r="K59" s="18"/>
      <c r="L59" s="18"/>
      <c r="M59" s="18"/>
      <c r="N59" s="35"/>
      <c r="O59" s="18"/>
      <c r="P59" s="18"/>
      <c r="Q59" s="18"/>
      <c r="R59" s="18">
        <v>39261.29</v>
      </c>
      <c r="S59" s="18">
        <v>17797.400000000001</v>
      </c>
      <c r="T59" s="18"/>
      <c r="U59" s="15">
        <f t="shared" si="10"/>
        <v>107381.84</v>
      </c>
    </row>
    <row r="60" spans="1:21" ht="18" customHeight="1" x14ac:dyDescent="0.3">
      <c r="B60" s="2" t="s">
        <v>62</v>
      </c>
      <c r="C60" s="18"/>
      <c r="D60" s="35"/>
      <c r="E60" s="18"/>
      <c r="F60" s="18"/>
      <c r="G60" s="18">
        <v>683625.55999999994</v>
      </c>
      <c r="H60" s="18"/>
      <c r="I60" s="35"/>
      <c r="J60" s="18">
        <v>71581.78</v>
      </c>
      <c r="K60" s="18"/>
      <c r="L60" s="18"/>
      <c r="M60" s="18"/>
      <c r="N60" s="35"/>
      <c r="O60" s="18"/>
      <c r="P60" s="18"/>
      <c r="Q60" s="18"/>
      <c r="R60" s="18">
        <v>25005.709999999992</v>
      </c>
      <c r="S60" s="18">
        <v>-73106.040000000008</v>
      </c>
      <c r="T60" s="18"/>
      <c r="U60" s="15">
        <f t="shared" si="10"/>
        <v>707107.00999999989</v>
      </c>
    </row>
    <row r="61" spans="1:21" x14ac:dyDescent="0.3">
      <c r="B61" s="2" t="s">
        <v>63</v>
      </c>
      <c r="C61" s="18"/>
      <c r="D61" s="35"/>
      <c r="E61" s="18"/>
      <c r="F61" s="18"/>
      <c r="G61" s="18">
        <v>89049.18</v>
      </c>
      <c r="H61" s="18"/>
      <c r="I61" s="35"/>
      <c r="J61" s="18">
        <v>13551.1</v>
      </c>
      <c r="K61" s="18"/>
      <c r="L61" s="18"/>
      <c r="M61" s="18"/>
      <c r="N61" s="35"/>
      <c r="O61" s="18"/>
      <c r="P61" s="18"/>
      <c r="Q61" s="18"/>
      <c r="R61" s="18">
        <v>82806.94</v>
      </c>
      <c r="S61" s="18">
        <v>11983.59</v>
      </c>
      <c r="T61" s="18"/>
      <c r="U61" s="15">
        <f t="shared" si="10"/>
        <v>197390.81</v>
      </c>
    </row>
    <row r="62" spans="1:21" x14ac:dyDescent="0.3">
      <c r="B62" s="22" t="s">
        <v>55</v>
      </c>
      <c r="C62" s="18"/>
      <c r="D62" s="35"/>
      <c r="E62" s="18"/>
      <c r="F62" s="18"/>
      <c r="G62" s="18">
        <v>31068.58</v>
      </c>
      <c r="H62" s="18"/>
      <c r="I62" s="35"/>
      <c r="J62" s="18">
        <v>2927.44</v>
      </c>
      <c r="K62" s="18"/>
      <c r="L62" s="18"/>
      <c r="M62" s="18"/>
      <c r="N62" s="35"/>
      <c r="O62" s="18"/>
      <c r="P62" s="18"/>
      <c r="Q62" s="18"/>
      <c r="R62" s="18">
        <v>35777</v>
      </c>
      <c r="S62" s="18">
        <v>-3112.43</v>
      </c>
      <c r="T62" s="18"/>
      <c r="U62" s="15">
        <f>SUM(C62:T62)</f>
        <v>66660.590000000011</v>
      </c>
    </row>
    <row r="63" spans="1:21" x14ac:dyDescent="0.3">
      <c r="B63" s="22" t="s">
        <v>56</v>
      </c>
      <c r="C63" s="36"/>
      <c r="D63" s="37"/>
      <c r="E63" s="36"/>
      <c r="F63" s="36"/>
      <c r="G63" s="36"/>
      <c r="H63" s="36"/>
      <c r="I63" s="37"/>
      <c r="J63" s="36"/>
      <c r="K63" s="36"/>
      <c r="L63" s="36"/>
      <c r="M63" s="36"/>
      <c r="N63" s="37"/>
      <c r="O63" s="36"/>
      <c r="P63" s="36"/>
      <c r="Q63" s="36"/>
      <c r="R63" s="36"/>
      <c r="S63" s="36"/>
    </row>
    <row r="64" spans="1:21" x14ac:dyDescent="0.3">
      <c r="B64" s="13" t="s">
        <v>64</v>
      </c>
      <c r="C64" s="38">
        <f>SUM(C57:C62)</f>
        <v>0</v>
      </c>
      <c r="D64" s="38">
        <f t="shared" ref="D64:R64" si="11">SUM(D57:D62)</f>
        <v>0</v>
      </c>
      <c r="E64" s="38">
        <f t="shared" si="11"/>
        <v>0</v>
      </c>
      <c r="F64" s="38">
        <f t="shared" si="11"/>
        <v>0</v>
      </c>
      <c r="G64" s="38">
        <f t="shared" si="11"/>
        <v>0</v>
      </c>
      <c r="H64" s="38">
        <f t="shared" si="11"/>
        <v>0</v>
      </c>
      <c r="I64" s="38">
        <f t="shared" si="11"/>
        <v>0</v>
      </c>
      <c r="J64" s="38">
        <f t="shared" si="11"/>
        <v>2.1373125491663814E-11</v>
      </c>
      <c r="K64" s="38">
        <f t="shared" si="11"/>
        <v>0</v>
      </c>
      <c r="L64" s="38">
        <f t="shared" si="11"/>
        <v>0</v>
      </c>
      <c r="M64" s="38">
        <f t="shared" si="11"/>
        <v>0</v>
      </c>
      <c r="N64" s="38">
        <f t="shared" si="11"/>
        <v>0</v>
      </c>
      <c r="O64" s="38">
        <f t="shared" si="11"/>
        <v>0</v>
      </c>
      <c r="P64" s="38">
        <f t="shared" si="11"/>
        <v>0</v>
      </c>
      <c r="Q64" s="38">
        <f t="shared" si="11"/>
        <v>0</v>
      </c>
      <c r="R64" s="38">
        <f t="shared" si="11"/>
        <v>0</v>
      </c>
      <c r="S64" s="38">
        <f>SUM(S57:S62)</f>
        <v>0</v>
      </c>
      <c r="U64" s="38">
        <f>SUM(U57:U62)</f>
        <v>-1.3096723705530167E-10</v>
      </c>
    </row>
    <row r="65" spans="1:19" x14ac:dyDescent="0.3">
      <c r="B65" s="39"/>
      <c r="C65" s="40"/>
      <c r="F65" s="40"/>
      <c r="H65" s="40"/>
      <c r="K65" s="40"/>
      <c r="M65" s="40"/>
      <c r="P65" s="40"/>
      <c r="R65" s="40"/>
      <c r="S65" s="40"/>
    </row>
    <row r="66" spans="1:19" x14ac:dyDescent="0.3">
      <c r="A66" s="2" t="s">
        <v>65</v>
      </c>
    </row>
    <row r="67" spans="1:19" ht="15" customHeight="1" x14ac:dyDescent="0.3">
      <c r="A67" s="41" t="s">
        <v>66</v>
      </c>
      <c r="B67" s="41"/>
    </row>
    <row r="68" spans="1:19" x14ac:dyDescent="0.3">
      <c r="A68" s="41"/>
      <c r="B68" s="41"/>
    </row>
    <row r="69" spans="1:19" x14ac:dyDescent="0.3">
      <c r="A69" s="41"/>
      <c r="B69" s="41"/>
    </row>
  </sheetData>
  <mergeCells count="2">
    <mergeCell ref="A55:B55"/>
    <mergeCell ref="A67:B69"/>
  </mergeCells>
  <pageMargins left="0.12" right="0.11" top="0.3" bottom="0.13" header="0.3" footer="0.17"/>
  <pageSetup paperSize="5" scale="52" fitToWidth="0" orientation="landscape" r:id="rId1"/>
  <rowBreaks count="1" manualBreakCount="1">
    <brk id="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Jan-June ROPS</vt:lpstr>
      <vt:lpstr>'Jan-June ROPS'!Print_Area</vt:lpstr>
      <vt:lpstr>'Jan-June ROPS'!Print_Titles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Yu, Liz</cp:lastModifiedBy>
  <dcterms:created xsi:type="dcterms:W3CDTF">2015-11-16T21:25:52Z</dcterms:created>
  <dcterms:modified xsi:type="dcterms:W3CDTF">2015-11-16T21:26:53Z</dcterms:modified>
</cp:coreProperties>
</file>