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8800" windowHeight="12300" tabRatio="883"/>
  </bookViews>
  <sheets>
    <sheet name="Construction Demand - JVR Solar" sheetId="1" r:id="rId1"/>
    <sheet name="Proposed Current Water Demand" sheetId="19" state="hidden" r:id="rId2"/>
    <sheet name="Construction Demand Clean" sheetId="18" r:id="rId3"/>
    <sheet name="Operational Demand" sheetId="20" r:id="rId4"/>
  </sheets>
  <definedNames>
    <definedName name="_xlnm.Print_Area" localSheetId="0">'Construction Demand - JVR Solar'!$A$9:$B$61</definedName>
    <definedName name="_xlnm.Print_Area" localSheetId="2">'Construction Demand Clean'!$A$3:$E$11</definedName>
  </definedNames>
  <calcPr calcId="145621"/>
</workbook>
</file>

<file path=xl/calcChain.xml><?xml version="1.0" encoding="utf-8"?>
<calcChain xmlns="http://schemas.openxmlformats.org/spreadsheetml/2006/main">
  <c r="B6" i="20" l="1"/>
  <c r="B4" i="20"/>
  <c r="B60" i="1" l="1"/>
  <c r="B42" i="1"/>
  <c r="D16" i="1" l="1"/>
  <c r="C3" i="20" l="1"/>
  <c r="B55" i="1"/>
  <c r="B54" i="1"/>
  <c r="B48" i="1"/>
  <c r="B50" i="1" s="1"/>
  <c r="B34" i="1"/>
  <c r="D59" i="18" l="1"/>
  <c r="D51" i="18"/>
  <c r="D56" i="18" s="1"/>
  <c r="B33" i="1" l="1"/>
  <c r="B24" i="1"/>
  <c r="B25" i="1" s="1"/>
  <c r="C4" i="20" l="1"/>
  <c r="C5" i="20"/>
  <c r="C6" i="20"/>
  <c r="B53" i="1" l="1"/>
  <c r="B51" i="1" l="1"/>
  <c r="B44" i="1"/>
  <c r="B8" i="18" s="1"/>
  <c r="F3" i="19"/>
  <c r="F4" i="19" s="1"/>
  <c r="F5" i="19" s="1"/>
  <c r="C7" i="18" l="1"/>
  <c r="B7" i="18"/>
  <c r="B10" i="18" s="1"/>
  <c r="C8" i="18"/>
  <c r="C10" i="18" s="1"/>
  <c r="B35" i="1"/>
  <c r="B26" i="1"/>
  <c r="B12" i="1"/>
  <c r="B5" i="18" s="1"/>
  <c r="C5" i="18" l="1"/>
  <c r="B14" i="1"/>
  <c r="B17" i="1" s="1"/>
  <c r="B52" i="18"/>
  <c r="D52" i="18" s="1"/>
  <c r="B27" i="1"/>
  <c r="B28" i="1" s="1"/>
  <c r="B36" i="1"/>
  <c r="B37" i="1" s="1"/>
  <c r="B30" i="1" l="1"/>
  <c r="B61" i="1"/>
  <c r="C52" i="18"/>
  <c r="D53" i="18"/>
  <c r="D54" i="18"/>
  <c r="E54" i="18" s="1"/>
  <c r="C6" i="18"/>
  <c r="B6" i="18"/>
  <c r="B18" i="1"/>
  <c r="B58" i="1" s="1"/>
  <c r="B40" i="1"/>
  <c r="B59" i="1" s="1"/>
  <c r="B9" i="18" l="1"/>
  <c r="B51" i="18"/>
  <c r="C9" i="18"/>
  <c r="B11" i="18"/>
  <c r="C11" i="18"/>
  <c r="B39" i="1"/>
  <c r="C51" i="18" l="1"/>
  <c r="E51" i="18"/>
  <c r="E56" i="18" s="1"/>
</calcChain>
</file>

<file path=xl/sharedStrings.xml><?xml version="1.0" encoding="utf-8"?>
<sst xmlns="http://schemas.openxmlformats.org/spreadsheetml/2006/main" count="182" uniqueCount="149">
  <si>
    <t>Project</t>
  </si>
  <si>
    <t>Subject</t>
  </si>
  <si>
    <t>GAL/ACRE</t>
  </si>
  <si>
    <t xml:space="preserve">Input Total Disturbance </t>
  </si>
  <si>
    <t>ACRE</t>
  </si>
  <si>
    <t>GAL</t>
  </si>
  <si>
    <t>Conversion to gallons per acre-foot</t>
  </si>
  <si>
    <t>ACRE-FT</t>
  </si>
  <si>
    <t xml:space="preserve">Input expected duration to clear, grub and grind </t>
  </si>
  <si>
    <t>DAY</t>
  </si>
  <si>
    <t>Water demand to clear, grub and grind</t>
  </si>
  <si>
    <t>ACRE-FT/DAY</t>
  </si>
  <si>
    <t xml:space="preserve">Water demand to clear, grub and grind </t>
  </si>
  <si>
    <t>GAL/DAY</t>
  </si>
  <si>
    <t>Estimated Mass grading</t>
  </si>
  <si>
    <t>Input quantity of on-site fill used to balance site</t>
  </si>
  <si>
    <t>CY</t>
  </si>
  <si>
    <t xml:space="preserve">Input optimum moisture content </t>
  </si>
  <si>
    <t>%</t>
  </si>
  <si>
    <t xml:space="preserve">Input observed moisture content </t>
  </si>
  <si>
    <t>Input dry unit weight of on-site fill</t>
  </si>
  <si>
    <t>PCF</t>
  </si>
  <si>
    <t>Weight of water to reach saturation</t>
  </si>
  <si>
    <t>Water required to hydrate and gain compaction</t>
  </si>
  <si>
    <t>GAL/CY</t>
  </si>
  <si>
    <t>Input contingency to account for evaporation during summer months</t>
  </si>
  <si>
    <t>Water for grading</t>
  </si>
  <si>
    <t>Water required for grading</t>
  </si>
  <si>
    <t>Input quantity of Scrapers (CAT 627H @ 24 cubic yards per load)</t>
  </si>
  <si>
    <t>EA</t>
  </si>
  <si>
    <t>Volume per haul</t>
  </si>
  <si>
    <t>CY/EA</t>
  </si>
  <si>
    <t>Time per haul</t>
  </si>
  <si>
    <t>MIN</t>
  </si>
  <si>
    <t>Hauls per hour</t>
  </si>
  <si>
    <t>EA/HR</t>
  </si>
  <si>
    <t>Grading Rate</t>
  </si>
  <si>
    <t>CY/HR</t>
  </si>
  <si>
    <t>Grading Rate for each work day</t>
  </si>
  <si>
    <t>CY/DAY</t>
  </si>
  <si>
    <t>Time to complete grading (work days)</t>
  </si>
  <si>
    <t>DAYS</t>
  </si>
  <si>
    <t>Water demand to complete mass grading</t>
  </si>
  <si>
    <t xml:space="preserve">Estimated Water Use for Concrete </t>
  </si>
  <si>
    <t>Daily Dust Control</t>
  </si>
  <si>
    <t>Days</t>
  </si>
  <si>
    <t>Total Water Use for Daily Dust Control</t>
  </si>
  <si>
    <t>Total Estimated Construction Demand</t>
  </si>
  <si>
    <t>GAL Per DAY</t>
  </si>
  <si>
    <t>Total Project Water Usage</t>
  </si>
  <si>
    <t>Gallons</t>
  </si>
  <si>
    <t>Quantity of concrete for concrete pad foundations</t>
  </si>
  <si>
    <t>gallons</t>
  </si>
  <si>
    <t>Activity</t>
  </si>
  <si>
    <t>Acre Feet</t>
  </si>
  <si>
    <t xml:space="preserve">Total Estimated Water Demand </t>
  </si>
  <si>
    <r>
      <t>Total Estimated Water Demand (acre-feet)</t>
    </r>
    <r>
      <rPr>
        <b/>
        <vertAlign val="superscript"/>
        <sz val="10"/>
        <color theme="1"/>
        <rFont val="Arial Narrow"/>
        <family val="2"/>
      </rPr>
      <t>1</t>
    </r>
  </si>
  <si>
    <r>
      <t>Site Preparation (clearing, grubbing, grinding, and dust control)</t>
    </r>
    <r>
      <rPr>
        <vertAlign val="superscript"/>
        <sz val="11"/>
        <color theme="1"/>
        <rFont val="Arial Narrow"/>
        <family val="2"/>
      </rPr>
      <t xml:space="preserve"> 1</t>
    </r>
  </si>
  <si>
    <t>0.4 AF/acre over 150 acres</t>
  </si>
  <si>
    <t>60 AF</t>
  </si>
  <si>
    <t>Dust Abatement</t>
  </si>
  <si>
    <t>2 AF/wk for 30 weeks</t>
  </si>
  <si>
    <t xml:space="preserve">Concrete Hydration </t>
  </si>
  <si>
    <t>20,000 gal total</t>
  </si>
  <si>
    <t>0.06 AF</t>
  </si>
  <si>
    <t>Total Construction Water</t>
  </si>
  <si>
    <t>120.06 AF</t>
  </si>
  <si>
    <r>
      <t>Empirical Rate of Water Used 
for clearing, grubbing, grinding and dust control
(</t>
    </r>
    <r>
      <rPr>
        <i/>
        <sz val="11"/>
        <color theme="1"/>
        <rFont val="Calibri"/>
        <family val="2"/>
        <scheme val="minor"/>
      </rPr>
      <t>Based 32 acre site located near Boulevard, CA)</t>
    </r>
  </si>
  <si>
    <t>3,000 gallon water trucks per day</t>
  </si>
  <si>
    <t>&lt;--Estimated based on concrete free installation of beams driven into the soil using a pile/vibratory/rotary driving technique</t>
  </si>
  <si>
    <t>Rate of water use for concrete hydration</t>
  </si>
  <si>
    <t>Total water use for concrete pad foundations (Substation+inverters)</t>
  </si>
  <si>
    <r>
      <rPr>
        <b/>
        <sz val="16"/>
        <color rgb="FFFF0000"/>
        <rFont val="Calibri"/>
        <family val="2"/>
        <scheme val="minor"/>
      </rPr>
      <t>DRAFT PRELIMINARY</t>
    </r>
    <r>
      <rPr>
        <b/>
        <sz val="16"/>
        <rFont val="Calibri"/>
        <family val="2"/>
        <scheme val="minor"/>
      </rPr>
      <t xml:space="preserve"> Estimation Sheet</t>
    </r>
  </si>
  <si>
    <t>Typical Rate of Water Use</t>
  </si>
  <si>
    <t>Rate of Water Use on Windy Days (Average Winds &gt; 15 MPH)</t>
  </si>
  <si>
    <t>Approx. No. High Wind Days over Period (Based on Boulevard Met Data)</t>
  </si>
  <si>
    <t>Total water use for high wind days</t>
  </si>
  <si>
    <t>Estimated Water Use Initial Site Preparation (Clearing, Grubbing, Grinding and Pre-Wetting)</t>
  </si>
  <si>
    <t>Additional Miscellaneous Items</t>
  </si>
  <si>
    <t>Noxious Weed Mitigation</t>
  </si>
  <si>
    <t>Fire Protection Requirements</t>
  </si>
  <si>
    <t>Soil Stabilization (Application of Soil Binder on Unsurfaced Ground)</t>
  </si>
  <si>
    <t>High Wind Days</t>
  </si>
  <si>
    <t>&lt;-- Three 10,000 gallon storage tanks</t>
  </si>
  <si>
    <t>&lt;-- Assumes 3,300 gal/acre. Because size or area surfaced with gravel or paved is unknown, it was assumed the entire development footprint would require application of soil binder.</t>
  </si>
  <si>
    <t>Water Demand Estimate</t>
  </si>
  <si>
    <t>Number of Construction Days after clearing/grubbing/grinding</t>
  </si>
  <si>
    <t>Timing / Duration (Approx.)</t>
  </si>
  <si>
    <t>Quarter-mile underground Gen-Tie Line</t>
  </si>
  <si>
    <t>Mass grading</t>
  </si>
  <si>
    <t>Initial Site Preparation</t>
  </si>
  <si>
    <t>Application of soil binder (if required)</t>
  </si>
  <si>
    <t>Panel Washing</t>
  </si>
  <si>
    <t>Potable Water Needs</t>
  </si>
  <si>
    <t>Total Water Use / Year</t>
  </si>
  <si>
    <t>Gallons / Year</t>
  </si>
  <si>
    <t>Acre Feet / Year</t>
  </si>
  <si>
    <t>Total</t>
  </si>
  <si>
    <t>JCSD</t>
  </si>
  <si>
    <t xml:space="preserve">&lt;--Additional 15% added for additional concrete use for fence posts, lighting posts etc. </t>
  </si>
  <si>
    <t>Explanation</t>
  </si>
  <si>
    <t>Dust Abatement (after initial site preparation)</t>
  </si>
  <si>
    <t xml:space="preserve">   Notes: </t>
  </si>
  <si>
    <t xml:space="preserve">Gallons are rounded up to the nearest thousands; acres are rounded up to the nearest tenth. </t>
  </si>
  <si>
    <t>Days 1-36 Subtotal</t>
  </si>
  <si>
    <t>Days 36-144 Subtotal</t>
  </si>
  <si>
    <t>Jul and Aug 2016
36 work days</t>
  </si>
  <si>
    <t>Sep through Nov 2016
108 work days</t>
  </si>
  <si>
    <t>PDMWD</t>
  </si>
  <si>
    <t>Total Water demands</t>
  </si>
  <si>
    <t>Jacumba Valley Ranch Solar</t>
  </si>
  <si>
    <t>PRELIMINARY ESTIMATE Construction Water Demand</t>
  </si>
  <si>
    <t>ASSUMPTIONS</t>
  </si>
  <si>
    <t xml:space="preserve">Total water to clear, grub, grind and pre-wet </t>
  </si>
  <si>
    <t>Total water to clear, grub, grind and pre-wet</t>
  </si>
  <si>
    <t>Total water to clear, grub, grind and pre-wet 1,080 acres</t>
  </si>
  <si>
    <t xml:space="preserve">&lt;--Based on Patrick Brown (BayWa) email dated 11/22/2017 </t>
  </si>
  <si>
    <r>
      <t>&lt;--</t>
    </r>
    <r>
      <rPr>
        <b/>
        <sz val="11"/>
        <color theme="1"/>
        <rFont val="Calibri"/>
        <family val="2"/>
        <scheme val="minor"/>
      </rPr>
      <t>Value used for Jacumba Solar Construction Estimate:</t>
    </r>
    <r>
      <rPr>
        <sz val="11"/>
        <color theme="1"/>
        <rFont val="Calibri"/>
        <family val="2"/>
        <scheme val="minor"/>
      </rPr>
      <t xml:space="preserve"> Small scraper running at 290hp</t>
    </r>
  </si>
  <si>
    <r>
      <t>&lt;--</t>
    </r>
    <r>
      <rPr>
        <b/>
        <sz val="11"/>
        <color theme="1"/>
        <rFont val="Calibri"/>
        <family val="2"/>
        <scheme val="minor"/>
      </rPr>
      <t>Value used for Jacumba Solar Construction Estimate:</t>
    </r>
    <r>
      <rPr>
        <sz val="11"/>
        <color theme="1"/>
        <rFont val="Calibri"/>
        <family val="2"/>
        <scheme val="minor"/>
      </rPr>
      <t xml:space="preserve"> Estimated based on soil type</t>
    </r>
  </si>
  <si>
    <r>
      <t>&lt;--</t>
    </r>
    <r>
      <rPr>
        <b/>
        <sz val="11"/>
        <color theme="1"/>
        <rFont val="Calibri"/>
        <family val="2"/>
        <scheme val="minor"/>
      </rPr>
      <t>Value used for Jacumba Solar Construction Estimate</t>
    </r>
    <r>
      <rPr>
        <sz val="11"/>
        <color theme="1"/>
        <rFont val="Calibri"/>
        <family val="2"/>
        <scheme val="minor"/>
      </rPr>
      <t>: Lowest soil moisture value obtained from 6 samples sent for moisture analysis (Southern California Soil and Testing Inc. 2014)</t>
    </r>
  </si>
  <si>
    <r>
      <t>&lt;--</t>
    </r>
    <r>
      <rPr>
        <b/>
        <sz val="11"/>
        <color theme="1"/>
        <rFont val="Calibri"/>
        <family val="2"/>
        <scheme val="minor"/>
      </rPr>
      <t>Value used for Jacumba Solar Construction Estimate:</t>
    </r>
    <r>
      <rPr>
        <sz val="11"/>
        <color theme="1"/>
        <rFont val="Calibri"/>
        <family val="2"/>
        <scheme val="minor"/>
      </rPr>
      <t xml:space="preserve"> Smaller scraper running at 33mph</t>
    </r>
  </si>
  <si>
    <r>
      <t>&lt;--</t>
    </r>
    <r>
      <rPr>
        <b/>
        <sz val="11"/>
        <color theme="1"/>
        <rFont val="Calibri"/>
        <family val="2"/>
        <scheme val="minor"/>
      </rPr>
      <t>Value used for Jacumba Solar Construction Estimate:</t>
    </r>
    <r>
      <rPr>
        <sz val="11"/>
        <color theme="1"/>
        <rFont val="Calibri"/>
        <family val="2"/>
        <scheme val="minor"/>
      </rPr>
      <t xml:space="preserve"> (18) 3,000-gallon water trucks per day</t>
    </r>
  </si>
  <si>
    <r>
      <t>&lt;--</t>
    </r>
    <r>
      <rPr>
        <b/>
        <sz val="11"/>
        <color theme="1"/>
        <rFont val="Calibri"/>
        <family val="2"/>
        <scheme val="minor"/>
      </rPr>
      <t>Value used for Jacumba Solar Construction Estimate: 9 Days</t>
    </r>
    <r>
      <rPr>
        <sz val="11"/>
        <color theme="1"/>
        <rFont val="Calibri"/>
        <family val="2"/>
        <scheme val="minor"/>
      </rPr>
      <t xml:space="preserve"> When average wind speeds exceed 15 MPH. Triple that value for JVR Solar construction period = 27 days</t>
    </r>
  </si>
  <si>
    <t>WE SHOULD GET ACTUAL DAILY DUST CONTROL WATER USE NUMBERS FROM Jacumba Solar Project</t>
  </si>
  <si>
    <r>
      <t xml:space="preserve">Table 1 -  </t>
    </r>
    <r>
      <rPr>
        <b/>
        <sz val="14"/>
        <color rgb="FFFF0000"/>
        <rFont val="Calibri"/>
        <family val="2"/>
        <scheme val="minor"/>
      </rPr>
      <t>PRELIMINARY ESTIMATE</t>
    </r>
    <r>
      <rPr>
        <b/>
        <sz val="14"/>
        <color theme="1"/>
        <rFont val="Calibri"/>
        <family val="2"/>
        <scheme val="minor"/>
      </rPr>
      <t xml:space="preserve"> Jacumba Valley Ranch Solar Farm Construction Water Demand</t>
    </r>
  </si>
  <si>
    <t>&lt;-- Assumes one 1,000 gallon weed wash station would be utilized daily (624 days (259+365)).</t>
  </si>
  <si>
    <r>
      <t>&lt;-- Approximately</t>
    </r>
    <r>
      <rPr>
        <b/>
        <sz val="11"/>
        <color theme="1"/>
        <rFont val="Calibri"/>
        <family val="2"/>
        <scheme val="minor"/>
      </rPr>
      <t xml:space="preserve"> UNKNOWN </t>
    </r>
    <r>
      <rPr>
        <sz val="11"/>
        <color theme="1"/>
        <rFont val="Calibri"/>
        <family val="2"/>
        <scheme val="minor"/>
      </rPr>
      <t>cubic yards of material will be required to be excavated to install the underground portion of 138 kV gen-tie line. Using an estimated water demand of 50 gallons per cubic yard of excavated trench would result in a water demand of XX gallons.</t>
    </r>
  </si>
  <si>
    <r>
      <t xml:space="preserve">&lt;-- </t>
    </r>
    <r>
      <rPr>
        <b/>
        <sz val="11"/>
        <color theme="1"/>
        <rFont val="Calibri"/>
        <family val="2"/>
        <scheme val="minor"/>
      </rPr>
      <t>Value used for Jacumba Solar Construction Estimate:</t>
    </r>
    <r>
      <rPr>
        <sz val="11"/>
        <color theme="1"/>
        <rFont val="Calibri"/>
        <family val="2"/>
        <scheme val="minor"/>
      </rPr>
      <t xml:space="preserve"> (6) 3,000-gallon water trucks per day </t>
    </r>
    <r>
      <rPr>
        <b/>
        <sz val="11"/>
        <color rgb="FFFF0000"/>
        <rFont val="Calibri"/>
        <family val="2"/>
        <scheme val="minor"/>
      </rPr>
      <t>MAY NEED TO UPDATE</t>
    </r>
  </si>
  <si>
    <t>Total Water Days 1-259</t>
  </si>
  <si>
    <t>Total Water Days 260 - 624</t>
  </si>
  <si>
    <t>Days 1-259 Subtotal</t>
  </si>
  <si>
    <t>Days 260-624 Subtotal</t>
  </si>
  <si>
    <t>Water necessary to properly hydrate and compact onsite fills (i.e., roads bases, structural pads, and fill slopes) as necessary to achieve engineered specifications. Mass grading needs are based on email from BayWa datad 11/22/2017 which provided an estimated mass grading volume of 50,000 cubic yards. Water requirements associated with hydration of fills are limited to surfaced roads, cut/fill slopes, and facility foundation pads (e.g., the collector substation and inverters), and are dependent on the difference between the “optimum” and lowest observed soil moisture content observed on the site. The soil moisture content was conservatively assumed to be 0% (the optimum soil moisture content is 9%). Furthermore, water requirement for mass grading was also increased by 67% to account for high rates of evaporation.</t>
  </si>
  <si>
    <t>Total water use for Jacumba Solar was 21 acre-feet (rounded) for construction</t>
  </si>
  <si>
    <t>acres per day</t>
  </si>
  <si>
    <t xml:space="preserve">&lt;--Based on pre-wetting surface with 1-inch of water. </t>
  </si>
  <si>
    <t>Project size = 100 MW and impact acreage = 570.54 acres</t>
  </si>
  <si>
    <t>&lt;--only lmited clearing and grubing will be required for fallowed ag land at Jacumba Valley Ranch. Assume pre-weeting only for dust control</t>
  </si>
  <si>
    <t>&lt;--Jacumba Solar Assumed 108 constructions days after clearing/grubbing/grinding. JVR Solar scaled up estimate would be 540 days. This would be an urealistic construction timeframe. Assume a 1-year construction period</t>
  </si>
  <si>
    <t>NOTE: Scaled up estimate of 65 enclosures for JVR Solar (100 MW) from the estimated 13 enclosuers for the Jacumba Solar (20 MW)</t>
  </si>
  <si>
    <t>&lt;--Estimated based on 65 enclosures with concrete pads measuring 14' x 44' x 1'. One substation pad measuring 110' x 215' x 1.5'. Assumes concrete free installation of beams driven into the soil using a pile/vibratory/rotary driving technique. +100% contingency added for uncertainty.</t>
  </si>
  <si>
    <t xml:space="preserve">Water necessary for general daily dust control following initial site preparation. Water trucks would be on-site daily to water access roads, active construction work areas and other temporarily bare soil surfaces (i.e., trenching, utilities, PV assembly areas, staging areas etc.). Approximately 18,000 GPD would be necessary for typical conditions, with up to 54,000 GPD during high wind days. Soil binder is assumed to require 3,300 gallons/acre. </t>
  </si>
  <si>
    <t xml:space="preserve">Water necesarry for other construction needs such as filling tanks for fire protection; washing stations for vehicles/equipment (noxious weed mitigation); and concrete hydration requirements for substation, inverter, and other facility foundations (e.g. fencing, lighting, etc...). Similar to Jacumba Solar Project, it is assumed that PV trackers would not require concrete foundations as they are expected to be mounted on driven posts. If the trackers require concrete foundations, the water demand will increase. </t>
  </si>
  <si>
    <t xml:space="preserve">&lt;--Based on Patrick Brown (BayWa) email dated 11/28/2017 </t>
  </si>
  <si>
    <r>
      <t xml:space="preserve">Water necessary for dust control during initial vegetation clearing, grubbing, grinding, and soil pre-wetting. The volume of water is based on an emperical rate of water use of 31,803 gallons/acre derived from the 32-acre Boulevard Border Control Station. It was assumed 570.42 acres would require site preparation. </t>
    </r>
    <r>
      <rPr>
        <b/>
        <sz val="10"/>
        <color rgb="FFFF0000"/>
        <rFont val="Arial Narrow"/>
        <family val="2"/>
      </rPr>
      <t xml:space="preserve">Can we get actual water use numbers from Jacumba Solar Project? </t>
    </r>
    <r>
      <rPr>
        <b/>
        <sz val="10"/>
        <rFont val="Arial Narrow"/>
        <family val="2"/>
      </rPr>
      <t>Yes, it is 21 acre-feet (rounded)</t>
    </r>
  </si>
  <si>
    <t>Other Construction Needs</t>
  </si>
  <si>
    <t xml:space="preserve">There are 385,120 modules for washing at 1 gallon per module.  There will be two washings per year. </t>
  </si>
  <si>
    <t>Notes</t>
  </si>
  <si>
    <t>None assumed for this project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</si>
</sst>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
    <numFmt numFmtId="166" formatCode="0.0"/>
  </numFmts>
  <fonts count="30" x14ac:knownFonts="1">
    <font>
      <sz val="11"/>
      <color theme="1"/>
      <name val="Calibri"/>
      <family val="2"/>
      <scheme val="minor"/>
    </font>
    <font>
      <sz val="11"/>
      <color rgb="FFFF0000"/>
      <name val="Calibri"/>
      <family val="2"/>
      <scheme val="minor"/>
    </font>
    <font>
      <b/>
      <sz val="11"/>
      <color theme="1"/>
      <name val="Calibri"/>
      <family val="2"/>
      <scheme val="minor"/>
    </font>
    <font>
      <b/>
      <sz val="16"/>
      <name val="Calibri"/>
      <family val="2"/>
      <scheme val="minor"/>
    </font>
    <font>
      <b/>
      <sz val="11"/>
      <name val="Calibri"/>
      <family val="2"/>
      <scheme val="minor"/>
    </font>
    <font>
      <sz val="11"/>
      <name val="Calibri"/>
      <family val="2"/>
      <scheme val="minor"/>
    </font>
    <font>
      <i/>
      <sz val="11"/>
      <color theme="1"/>
      <name val="Calibri"/>
      <family val="2"/>
      <scheme val="minor"/>
    </font>
    <font>
      <b/>
      <i/>
      <sz val="11"/>
      <color theme="1"/>
      <name val="Calibri"/>
      <family val="2"/>
      <scheme val="minor"/>
    </font>
    <font>
      <sz val="11"/>
      <name val="Calibri"/>
      <family val="2"/>
    </font>
    <font>
      <b/>
      <sz val="11"/>
      <name val="Calibri"/>
      <family val="2"/>
    </font>
    <font>
      <b/>
      <sz val="11"/>
      <color rgb="FF000000"/>
      <name val="Calibri"/>
      <family val="2"/>
    </font>
    <font>
      <b/>
      <sz val="10"/>
      <color theme="1"/>
      <name val="Arial Narrow"/>
      <family val="2"/>
    </font>
    <font>
      <b/>
      <vertAlign val="superscript"/>
      <sz val="10"/>
      <color theme="1"/>
      <name val="Arial Narrow"/>
      <family val="2"/>
    </font>
    <font>
      <sz val="10"/>
      <color theme="1"/>
      <name val="Arial Narrow"/>
      <family val="2"/>
    </font>
    <font>
      <sz val="10"/>
      <color theme="1"/>
      <name val="Times New Roman"/>
      <family val="1"/>
    </font>
    <font>
      <sz val="11"/>
      <color theme="1"/>
      <name val="Arial Narrow"/>
      <family val="2"/>
    </font>
    <font>
      <vertAlign val="superscript"/>
      <sz val="11"/>
      <color theme="1"/>
      <name val="Arial Narrow"/>
      <family val="2"/>
    </font>
    <font>
      <b/>
      <sz val="11"/>
      <color theme="1"/>
      <name val="Arial Narrow"/>
      <family val="2"/>
    </font>
    <font>
      <b/>
      <sz val="16"/>
      <color rgb="FFFF0000"/>
      <name val="Calibri"/>
      <family val="2"/>
      <scheme val="minor"/>
    </font>
    <font>
      <b/>
      <sz val="14"/>
      <color theme="1"/>
      <name val="Calibri"/>
      <family val="2"/>
      <scheme val="minor"/>
    </font>
    <font>
      <sz val="10"/>
      <color rgb="FF000000"/>
      <name val="Arial Narrow"/>
      <family val="2"/>
    </font>
    <font>
      <i/>
      <sz val="10"/>
      <color theme="1"/>
      <name val="Arial Narrow"/>
      <family val="2"/>
    </font>
    <font>
      <b/>
      <u/>
      <sz val="11"/>
      <color theme="1"/>
      <name val="Calibri"/>
      <family val="2"/>
      <scheme val="minor"/>
    </font>
    <font>
      <b/>
      <sz val="14"/>
      <color rgb="FFFF0000"/>
      <name val="Calibri"/>
      <family val="2"/>
      <scheme val="minor"/>
    </font>
    <font>
      <sz val="11"/>
      <color rgb="FFFF0000"/>
      <name val="Calibri"/>
      <family val="2"/>
    </font>
    <font>
      <b/>
      <sz val="11"/>
      <color rgb="FFFF0000"/>
      <name val="Calibri"/>
      <family val="2"/>
    </font>
    <font>
      <b/>
      <sz val="11"/>
      <color rgb="FFFF0000"/>
      <name val="Calibri"/>
      <family val="2"/>
      <scheme val="minor"/>
    </font>
    <font>
      <b/>
      <sz val="10"/>
      <color rgb="FFFF0000"/>
      <name val="Arial Narrow"/>
      <family val="2"/>
    </font>
    <font>
      <b/>
      <sz val="10"/>
      <name val="Arial Narrow"/>
      <family val="2"/>
    </font>
    <font>
      <sz val="9"/>
      <color theme="1"/>
      <name val="Arial"/>
      <family val="2"/>
    </font>
  </fonts>
  <fills count="12">
    <fill>
      <patternFill patternType="none"/>
    </fill>
    <fill>
      <patternFill patternType="gray125"/>
    </fill>
    <fill>
      <patternFill patternType="solid">
        <fgColor theme="2"/>
        <bgColor indexed="64"/>
      </patternFill>
    </fill>
    <fill>
      <patternFill patternType="solid">
        <fgColor rgb="FFFFC000"/>
        <bgColor indexed="64"/>
      </patternFill>
    </fill>
    <fill>
      <patternFill patternType="solid">
        <fgColor theme="0"/>
        <bgColor indexed="64"/>
      </patternFill>
    </fill>
    <fill>
      <patternFill patternType="solid">
        <fgColor theme="2" tint="-0.249977111117893"/>
        <bgColor indexed="64"/>
      </patternFill>
    </fill>
    <fill>
      <patternFill patternType="solid">
        <fgColor theme="3" tint="0.79998168889431442"/>
        <bgColor indexed="64"/>
      </patternFill>
    </fill>
    <fill>
      <patternFill patternType="solid">
        <fgColor rgb="FFFFFF00"/>
        <bgColor indexed="64"/>
      </patternFill>
    </fill>
    <fill>
      <patternFill patternType="solid">
        <fgColor rgb="FF00B050"/>
        <bgColor indexed="64"/>
      </patternFill>
    </fill>
    <fill>
      <patternFill patternType="solid">
        <fgColor theme="0" tint="-0.249977111117893"/>
        <bgColor indexed="64"/>
      </patternFill>
    </fill>
    <fill>
      <patternFill patternType="solid">
        <fgColor rgb="FFBFBFBF"/>
        <bgColor indexed="64"/>
      </patternFill>
    </fill>
    <fill>
      <patternFill patternType="solid">
        <fgColor theme="5" tint="0.59999389629810485"/>
        <bgColor indexed="64"/>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s>
  <cellStyleXfs count="1">
    <xf numFmtId="0" fontId="0" fillId="0" borderId="0"/>
  </cellStyleXfs>
  <cellXfs count="144">
    <xf numFmtId="0" fontId="0" fillId="0" borderId="0" xfId="0"/>
    <xf numFmtId="0" fontId="0" fillId="0" borderId="1" xfId="0" applyFont="1" applyBorder="1"/>
    <xf numFmtId="0" fontId="3" fillId="0" borderId="2" xfId="0" applyFont="1" applyFill="1" applyBorder="1" applyAlignment="1">
      <alignment vertical="center"/>
    </xf>
    <xf numFmtId="0" fontId="0" fillId="0" borderId="3" xfId="0" applyBorder="1"/>
    <xf numFmtId="0" fontId="0" fillId="0" borderId="5" xfId="0" applyBorder="1"/>
    <xf numFmtId="0" fontId="3" fillId="0" borderId="6" xfId="0" applyFont="1" applyFill="1" applyBorder="1" applyAlignment="1">
      <alignment vertical="center"/>
    </xf>
    <xf numFmtId="0" fontId="3" fillId="0" borderId="7" xfId="0" applyFont="1" applyFill="1" applyBorder="1" applyAlignment="1">
      <alignment vertical="center"/>
    </xf>
    <xf numFmtId="0" fontId="0" fillId="0" borderId="8" xfId="0" applyBorder="1"/>
    <xf numFmtId="0" fontId="4" fillId="0" borderId="1" xfId="0" applyFont="1" applyFill="1" applyBorder="1" applyAlignment="1">
      <alignment vertical="center"/>
    </xf>
    <xf numFmtId="0" fontId="5" fillId="0" borderId="2" xfId="0" applyFont="1" applyFill="1" applyBorder="1" applyAlignment="1">
      <alignment vertical="center"/>
    </xf>
    <xf numFmtId="0" fontId="5" fillId="0" borderId="6" xfId="0" applyFont="1" applyFill="1" applyBorder="1" applyAlignment="1">
      <alignment vertical="center"/>
    </xf>
    <xf numFmtId="0" fontId="5" fillId="0" borderId="7" xfId="0" applyFont="1" applyFill="1" applyBorder="1" applyAlignment="1">
      <alignment vertical="center"/>
    </xf>
    <xf numFmtId="0" fontId="5" fillId="0" borderId="0" xfId="0" applyFont="1" applyFill="1" applyBorder="1" applyAlignment="1">
      <alignment vertical="center"/>
    </xf>
    <xf numFmtId="0" fontId="0" fillId="0" borderId="12" xfId="0" applyBorder="1" applyAlignment="1">
      <alignment vertical="center" wrapText="1"/>
    </xf>
    <xf numFmtId="3" fontId="0" fillId="0" borderId="9" xfId="0" applyNumberFormat="1" applyBorder="1"/>
    <xf numFmtId="0" fontId="0" fillId="0" borderId="11" xfId="0" applyBorder="1"/>
    <xf numFmtId="0" fontId="0" fillId="0" borderId="0" xfId="0" applyFill="1"/>
    <xf numFmtId="0" fontId="0" fillId="4" borderId="12" xfId="0" applyFill="1" applyBorder="1"/>
    <xf numFmtId="0" fontId="0" fillId="4" borderId="9" xfId="0" applyFill="1" applyBorder="1"/>
    <xf numFmtId="0" fontId="0" fillId="4" borderId="11" xfId="0" applyFill="1" applyBorder="1"/>
    <xf numFmtId="0" fontId="0" fillId="4" borderId="0" xfId="0" applyFill="1"/>
    <xf numFmtId="0" fontId="2" fillId="4" borderId="12" xfId="0" applyFont="1" applyFill="1" applyBorder="1"/>
    <xf numFmtId="3" fontId="2" fillId="4" borderId="9" xfId="0" applyNumberFormat="1" applyFont="1" applyFill="1" applyBorder="1"/>
    <xf numFmtId="0" fontId="2" fillId="4" borderId="11" xfId="0" applyFont="1" applyFill="1" applyBorder="1"/>
    <xf numFmtId="3" fontId="0" fillId="4" borderId="9" xfId="0" applyNumberFormat="1" applyFill="1" applyBorder="1"/>
    <xf numFmtId="1" fontId="2" fillId="4" borderId="9" xfId="0" applyNumberFormat="1" applyFont="1" applyFill="1" applyBorder="1"/>
    <xf numFmtId="0" fontId="1" fillId="0" borderId="0" xfId="0" applyFont="1" applyFill="1" applyAlignment="1">
      <alignment horizontal="center"/>
    </xf>
    <xf numFmtId="2" fontId="2" fillId="4" borderId="9" xfId="0" applyNumberFormat="1" applyFont="1" applyFill="1" applyBorder="1"/>
    <xf numFmtId="0" fontId="0" fillId="0" borderId="0" xfId="0" applyFill="1" applyAlignment="1">
      <alignment wrapText="1"/>
    </xf>
    <xf numFmtId="164" fontId="0" fillId="4" borderId="9" xfId="0" applyNumberFormat="1" applyFill="1" applyBorder="1"/>
    <xf numFmtId="0" fontId="5" fillId="0" borderId="11" xfId="0" applyFont="1" applyBorder="1"/>
    <xf numFmtId="0" fontId="8" fillId="0" borderId="9" xfId="0" applyFont="1" applyBorder="1" applyAlignment="1">
      <alignment vertical="center"/>
    </xf>
    <xf numFmtId="0" fontId="2" fillId="4" borderId="9" xfId="0" applyFont="1" applyFill="1" applyBorder="1" applyAlignment="1">
      <alignment horizontal="left"/>
    </xf>
    <xf numFmtId="3" fontId="2" fillId="4" borderId="10" xfId="0" applyNumberFormat="1" applyFont="1" applyFill="1" applyBorder="1" applyAlignment="1">
      <alignment horizontal="center"/>
    </xf>
    <xf numFmtId="0" fontId="2" fillId="4" borderId="11" xfId="0" applyFont="1" applyFill="1" applyBorder="1" applyAlignment="1">
      <alignment horizontal="center"/>
    </xf>
    <xf numFmtId="0" fontId="10" fillId="0" borderId="12" xfId="0" applyFont="1" applyFill="1" applyBorder="1" applyAlignment="1">
      <alignment vertical="center"/>
    </xf>
    <xf numFmtId="3" fontId="2" fillId="0" borderId="9" xfId="0" applyNumberFormat="1" applyFont="1" applyBorder="1"/>
    <xf numFmtId="0" fontId="0" fillId="0" borderId="12" xfId="0" applyFill="1" applyBorder="1"/>
    <xf numFmtId="3" fontId="0" fillId="0" borderId="9" xfId="0" applyNumberFormat="1" applyFill="1" applyBorder="1"/>
    <xf numFmtId="0" fontId="0" fillId="0" borderId="11" xfId="0" applyFill="1" applyBorder="1"/>
    <xf numFmtId="0" fontId="5" fillId="0" borderId="12" xfId="0" applyFont="1" applyFill="1" applyBorder="1"/>
    <xf numFmtId="165" fontId="0" fillId="0" borderId="9" xfId="0" applyNumberFormat="1" applyFill="1" applyBorder="1"/>
    <xf numFmtId="1" fontId="0" fillId="0" borderId="9" xfId="0" applyNumberFormat="1" applyFill="1" applyBorder="1"/>
    <xf numFmtId="0" fontId="2" fillId="0" borderId="12" xfId="0" applyFont="1" applyFill="1" applyBorder="1"/>
    <xf numFmtId="3" fontId="2" fillId="0" borderId="9" xfId="0" applyNumberFormat="1" applyFont="1" applyFill="1" applyBorder="1"/>
    <xf numFmtId="0" fontId="2" fillId="0" borderId="11" xfId="0" applyFont="1" applyFill="1" applyBorder="1"/>
    <xf numFmtId="166" fontId="2" fillId="0" borderId="9" xfId="0" applyNumberFormat="1" applyFont="1" applyFill="1" applyBorder="1"/>
    <xf numFmtId="0" fontId="0" fillId="0" borderId="9" xfId="0" applyFill="1" applyBorder="1"/>
    <xf numFmtId="4" fontId="2" fillId="0" borderId="9" xfId="0" applyNumberFormat="1" applyFont="1" applyFill="1" applyBorder="1"/>
    <xf numFmtId="0" fontId="11" fillId="10" borderId="16" xfId="0" applyFont="1" applyFill="1" applyBorder="1" applyAlignment="1">
      <alignment horizontal="center" vertical="center" wrapText="1"/>
    </xf>
    <xf numFmtId="0" fontId="13" fillId="0" borderId="13" xfId="0" applyFont="1" applyBorder="1" applyAlignment="1">
      <alignment vertical="center" wrapText="1"/>
    </xf>
    <xf numFmtId="0" fontId="13" fillId="0" borderId="15" xfId="0" applyFont="1" applyBorder="1" applyAlignment="1">
      <alignment vertical="center" wrapText="1"/>
    </xf>
    <xf numFmtId="0" fontId="11" fillId="0" borderId="15" xfId="0" applyFont="1" applyBorder="1" applyAlignment="1">
      <alignment horizontal="right" vertical="center" wrapText="1"/>
    </xf>
    <xf numFmtId="3" fontId="13" fillId="0" borderId="15" xfId="0" applyNumberFormat="1" applyFont="1" applyBorder="1" applyAlignment="1">
      <alignment horizontal="center" vertical="center" wrapText="1"/>
    </xf>
    <xf numFmtId="166" fontId="13" fillId="0" borderId="15" xfId="0" applyNumberFormat="1" applyFont="1" applyBorder="1" applyAlignment="1">
      <alignment horizontal="center" vertical="center" wrapText="1"/>
    </xf>
    <xf numFmtId="3" fontId="13" fillId="0" borderId="15" xfId="0" quotePrefix="1" applyNumberFormat="1" applyFont="1" applyBorder="1" applyAlignment="1">
      <alignment horizontal="center" vertical="center" wrapText="1"/>
    </xf>
    <xf numFmtId="3" fontId="11" fillId="0" borderId="15" xfId="0" applyNumberFormat="1" applyFont="1" applyBorder="1" applyAlignment="1">
      <alignment horizontal="center" vertical="center" wrapText="1"/>
    </xf>
    <xf numFmtId="166" fontId="11" fillId="0" borderId="15" xfId="0" applyNumberFormat="1" applyFont="1" applyBorder="1" applyAlignment="1">
      <alignment horizontal="center" vertical="center" wrapText="1"/>
    </xf>
    <xf numFmtId="3" fontId="13" fillId="9" borderId="13" xfId="0" applyNumberFormat="1" applyFont="1" applyFill="1" applyBorder="1" applyAlignment="1">
      <alignment horizontal="center" vertical="center" wrapText="1"/>
    </xf>
    <xf numFmtId="166" fontId="13" fillId="9" borderId="13" xfId="0" applyNumberFormat="1" applyFont="1" applyFill="1" applyBorder="1" applyAlignment="1">
      <alignment horizontal="center" vertical="center" wrapText="1"/>
    </xf>
    <xf numFmtId="0" fontId="13" fillId="0" borderId="15" xfId="0" applyFont="1" applyFill="1" applyBorder="1" applyAlignment="1">
      <alignment vertical="center" wrapText="1"/>
    </xf>
    <xf numFmtId="0" fontId="11" fillId="10" borderId="15" xfId="0" applyFont="1" applyFill="1" applyBorder="1" applyAlignment="1">
      <alignment horizontal="center" vertical="center" wrapText="1"/>
    </xf>
    <xf numFmtId="0" fontId="15" fillId="0" borderId="15" xfId="0" applyFont="1" applyBorder="1" applyAlignment="1">
      <alignment vertical="center" wrapText="1"/>
    </xf>
    <xf numFmtId="0" fontId="15" fillId="0" borderId="16" xfId="0" applyFont="1" applyBorder="1" applyAlignment="1">
      <alignment horizontal="center" vertical="center" wrapText="1"/>
    </xf>
    <xf numFmtId="0" fontId="17" fillId="0" borderId="15" xfId="0" applyFont="1" applyBorder="1" applyAlignment="1">
      <alignment horizontal="right" vertical="center" wrapText="1"/>
    </xf>
    <xf numFmtId="0" fontId="14" fillId="0" borderId="16" xfId="0" applyFont="1" applyBorder="1" applyAlignment="1">
      <alignment vertical="top" wrapText="1"/>
    </xf>
    <xf numFmtId="0" fontId="17" fillId="0" borderId="16" xfId="0" applyFont="1" applyBorder="1" applyAlignment="1">
      <alignment horizontal="center" vertical="center" wrapText="1"/>
    </xf>
    <xf numFmtId="0" fontId="0" fillId="4" borderId="0" xfId="0" applyFill="1" applyAlignment="1">
      <alignment horizontal="left"/>
    </xf>
    <xf numFmtId="0" fontId="0" fillId="0" borderId="0" xfId="0"/>
    <xf numFmtId="0" fontId="5" fillId="0" borderId="11" xfId="0" applyFont="1" applyBorder="1"/>
    <xf numFmtId="3" fontId="8" fillId="0" borderId="10" xfId="0" applyNumberFormat="1" applyFont="1" applyBorder="1" applyAlignment="1">
      <alignment horizontal="right" vertical="center"/>
    </xf>
    <xf numFmtId="0" fontId="0" fillId="4" borderId="0" xfId="0" applyFill="1"/>
    <xf numFmtId="0" fontId="8" fillId="0" borderId="12" xfId="0" applyFont="1" applyBorder="1" applyAlignment="1">
      <alignment vertical="center"/>
    </xf>
    <xf numFmtId="1" fontId="8" fillId="0" borderId="9" xfId="0" applyNumberFormat="1" applyFont="1" applyBorder="1" applyAlignment="1">
      <alignment horizontal="right" vertical="center"/>
    </xf>
    <xf numFmtId="0" fontId="9" fillId="0" borderId="12" xfId="0" applyFont="1" applyBorder="1" applyAlignment="1">
      <alignment vertical="center"/>
    </xf>
    <xf numFmtId="0" fontId="4" fillId="0" borderId="11" xfId="0" applyFont="1" applyBorder="1"/>
    <xf numFmtId="3" fontId="9" fillId="0" borderId="10" xfId="0" applyNumberFormat="1" applyFont="1" applyBorder="1" applyAlignment="1">
      <alignment horizontal="right" vertical="center"/>
    </xf>
    <xf numFmtId="0" fontId="0" fillId="0" borderId="8" xfId="0" applyBorder="1" applyAlignment="1">
      <alignment horizontal="right"/>
    </xf>
    <xf numFmtId="3" fontId="8" fillId="0" borderId="12" xfId="0" applyNumberFormat="1" applyFont="1" applyFill="1" applyBorder="1" applyAlignment="1">
      <alignment horizontal="right" vertical="center"/>
    </xf>
    <xf numFmtId="0" fontId="5" fillId="0" borderId="12" xfId="0" applyFont="1" applyBorder="1"/>
    <xf numFmtId="3" fontId="9" fillId="0" borderId="12" xfId="0" applyNumberFormat="1" applyFont="1" applyFill="1" applyBorder="1" applyAlignment="1">
      <alignment horizontal="right" vertical="center"/>
    </xf>
    <xf numFmtId="0" fontId="4" fillId="0" borderId="12" xfId="0" applyFont="1" applyBorder="1"/>
    <xf numFmtId="0" fontId="8" fillId="0" borderId="12" xfId="0" applyFont="1" applyFill="1" applyBorder="1" applyAlignment="1">
      <alignment horizontal="right" vertical="center"/>
    </xf>
    <xf numFmtId="0" fontId="2" fillId="0" borderId="11" xfId="0" applyFont="1" applyBorder="1"/>
    <xf numFmtId="166" fontId="0" fillId="0" borderId="0" xfId="0" applyNumberFormat="1"/>
    <xf numFmtId="3" fontId="13" fillId="0" borderId="14" xfId="0" applyNumberFormat="1" applyFont="1" applyBorder="1" applyAlignment="1">
      <alignment horizontal="center" vertical="center" wrapText="1"/>
    </xf>
    <xf numFmtId="3" fontId="13" fillId="0" borderId="16" xfId="0" applyNumberFormat="1" applyFont="1" applyBorder="1" applyAlignment="1">
      <alignment horizontal="center" vertical="center" wrapText="1"/>
    </xf>
    <xf numFmtId="3" fontId="11" fillId="0" borderId="16" xfId="0" applyNumberFormat="1" applyFont="1" applyBorder="1" applyAlignment="1">
      <alignment horizontal="center" vertical="center" wrapText="1"/>
    </xf>
    <xf numFmtId="3" fontId="0" fillId="0" borderId="0" xfId="0" applyNumberFormat="1"/>
    <xf numFmtId="0" fontId="2" fillId="0" borderId="0" xfId="0" applyFont="1"/>
    <xf numFmtId="0" fontId="20" fillId="0" borderId="0" xfId="0" applyFont="1" applyAlignment="1">
      <alignment horizontal="left" vertical="center" wrapText="1"/>
    </xf>
    <xf numFmtId="0" fontId="20" fillId="0" borderId="0" xfId="0" applyFont="1" applyAlignment="1">
      <alignment horizontal="right" vertical="center"/>
    </xf>
    <xf numFmtId="49" fontId="13" fillId="0" borderId="0" xfId="0" applyNumberFormat="1" applyFont="1" applyBorder="1" applyAlignment="1">
      <alignment horizontal="center" vertical="center" wrapText="1"/>
    </xf>
    <xf numFmtId="0" fontId="13" fillId="0" borderId="0" xfId="0" applyFont="1" applyFill="1" applyBorder="1" applyAlignment="1">
      <alignment vertical="center" wrapText="1"/>
    </xf>
    <xf numFmtId="0" fontId="21" fillId="0" borderId="15" xfId="0" applyFont="1" applyBorder="1" applyAlignment="1">
      <alignment vertical="center" wrapText="1"/>
    </xf>
    <xf numFmtId="3" fontId="21" fillId="0" borderId="15" xfId="0" applyNumberFormat="1" applyFont="1" applyBorder="1" applyAlignment="1">
      <alignment horizontal="center" vertical="center" wrapText="1"/>
    </xf>
    <xf numFmtId="166" fontId="21" fillId="0" borderId="15" xfId="0" applyNumberFormat="1" applyFont="1" applyBorder="1" applyAlignment="1">
      <alignment horizontal="center" vertical="center" wrapText="1"/>
    </xf>
    <xf numFmtId="0" fontId="0" fillId="7" borderId="0" xfId="0" applyFill="1"/>
    <xf numFmtId="3" fontId="21" fillId="0" borderId="15" xfId="0" applyNumberFormat="1" applyFont="1" applyBorder="1" applyAlignment="1">
      <alignment horizontal="left" vertical="center" wrapText="1"/>
    </xf>
    <xf numFmtId="9" fontId="0" fillId="0" borderId="0" xfId="0" applyNumberFormat="1"/>
    <xf numFmtId="9" fontId="0" fillId="0" borderId="0" xfId="0" applyNumberFormat="1" applyAlignment="1">
      <alignment horizontal="left"/>
    </xf>
    <xf numFmtId="0" fontId="2" fillId="0" borderId="0" xfId="0" applyFont="1" applyAlignment="1">
      <alignment horizontal="center"/>
    </xf>
    <xf numFmtId="0" fontId="1" fillId="0" borderId="6" xfId="0" applyFont="1" applyFill="1" applyBorder="1" applyAlignment="1">
      <alignment vertical="center"/>
    </xf>
    <xf numFmtId="0" fontId="22" fillId="0" borderId="0" xfId="0" applyFont="1"/>
    <xf numFmtId="0" fontId="22" fillId="7" borderId="0" xfId="0" applyFont="1" applyFill="1"/>
    <xf numFmtId="0" fontId="24" fillId="0" borderId="12" xfId="0" applyFont="1" applyFill="1" applyBorder="1" applyAlignment="1">
      <alignment vertical="center"/>
    </xf>
    <xf numFmtId="3" fontId="25" fillId="0" borderId="12" xfId="0" applyNumberFormat="1" applyFont="1" applyFill="1" applyBorder="1" applyAlignment="1">
      <alignment horizontal="right" vertical="center"/>
    </xf>
    <xf numFmtId="0" fontId="25" fillId="0" borderId="12" xfId="0" applyFont="1" applyFill="1" applyBorder="1" applyAlignment="1">
      <alignment vertical="center"/>
    </xf>
    <xf numFmtId="0" fontId="2" fillId="8" borderId="9" xfId="0" applyFont="1" applyFill="1" applyBorder="1" applyAlignment="1">
      <alignment horizontal="center"/>
    </xf>
    <xf numFmtId="0" fontId="2" fillId="8" borderId="10" xfId="0" applyFont="1" applyFill="1" applyBorder="1" applyAlignment="1">
      <alignment horizontal="center"/>
    </xf>
    <xf numFmtId="0" fontId="2" fillId="8" borderId="11" xfId="0" applyFont="1" applyFill="1" applyBorder="1" applyAlignment="1">
      <alignment horizontal="center"/>
    </xf>
    <xf numFmtId="0" fontId="3" fillId="0" borderId="4" xfId="0" applyFont="1" applyFill="1" applyBorder="1" applyAlignment="1">
      <alignment horizontal="center" vertical="center"/>
    </xf>
    <xf numFmtId="0" fontId="3" fillId="0" borderId="0" xfId="0" applyFont="1" applyFill="1" applyBorder="1" applyAlignment="1">
      <alignment horizontal="center" vertical="center"/>
    </xf>
    <xf numFmtId="0" fontId="0" fillId="2" borderId="9"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2" fillId="3" borderId="9" xfId="0" applyFont="1" applyFill="1" applyBorder="1" applyAlignment="1">
      <alignment horizontal="center"/>
    </xf>
    <xf numFmtId="0" fontId="2" fillId="3" borderId="10" xfId="0" applyFont="1" applyFill="1" applyBorder="1" applyAlignment="1">
      <alignment horizontal="center"/>
    </xf>
    <xf numFmtId="0" fontId="2" fillId="3" borderId="11" xfId="0" applyFont="1" applyFill="1" applyBorder="1" applyAlignment="1">
      <alignment horizontal="center"/>
    </xf>
    <xf numFmtId="0" fontId="7" fillId="4" borderId="9" xfId="0" applyFont="1" applyFill="1" applyBorder="1" applyAlignment="1">
      <alignment horizontal="center"/>
    </xf>
    <xf numFmtId="0" fontId="7" fillId="4" borderId="10" xfId="0" applyFont="1" applyFill="1" applyBorder="1" applyAlignment="1">
      <alignment horizontal="center"/>
    </xf>
    <xf numFmtId="0" fontId="7" fillId="4" borderId="11" xfId="0" applyFont="1" applyFill="1" applyBorder="1" applyAlignment="1">
      <alignment horizontal="center"/>
    </xf>
    <xf numFmtId="0" fontId="2" fillId="5" borderId="9" xfId="0" applyFont="1" applyFill="1" applyBorder="1" applyAlignment="1">
      <alignment horizontal="center" wrapText="1"/>
    </xf>
    <xf numFmtId="0" fontId="2" fillId="5" borderId="10" xfId="0" applyFont="1" applyFill="1" applyBorder="1" applyAlignment="1">
      <alignment horizontal="center" wrapText="1"/>
    </xf>
    <xf numFmtId="0" fontId="2" fillId="5" borderId="11" xfId="0" applyFont="1" applyFill="1" applyBorder="1" applyAlignment="1">
      <alignment horizontal="center" wrapText="1"/>
    </xf>
    <xf numFmtId="0" fontId="0" fillId="0" borderId="9" xfId="0" applyFill="1" applyBorder="1" applyAlignment="1">
      <alignment horizontal="center"/>
    </xf>
    <xf numFmtId="0" fontId="0" fillId="0" borderId="10" xfId="0" applyFill="1" applyBorder="1" applyAlignment="1">
      <alignment horizontal="center"/>
    </xf>
    <xf numFmtId="0" fontId="0" fillId="0" borderId="11" xfId="0" applyFill="1" applyBorder="1" applyAlignment="1">
      <alignment horizontal="center"/>
    </xf>
    <xf numFmtId="0" fontId="4" fillId="7" borderId="9" xfId="0" applyFont="1" applyFill="1" applyBorder="1" applyAlignment="1">
      <alignment horizontal="center"/>
    </xf>
    <xf numFmtId="0" fontId="4" fillId="7" borderId="10" xfId="0" applyFont="1" applyFill="1" applyBorder="1" applyAlignment="1">
      <alignment horizontal="center"/>
    </xf>
    <xf numFmtId="0" fontId="4" fillId="7" borderId="11" xfId="0" applyFont="1" applyFill="1" applyBorder="1" applyAlignment="1">
      <alignment horizontal="center"/>
    </xf>
    <xf numFmtId="0" fontId="9" fillId="6" borderId="9" xfId="0" applyFont="1" applyFill="1" applyBorder="1" applyAlignment="1">
      <alignment horizontal="center" vertical="center"/>
    </xf>
    <xf numFmtId="0" fontId="9" fillId="6" borderId="10" xfId="0" applyFont="1" applyFill="1" applyBorder="1" applyAlignment="1">
      <alignment horizontal="center" vertical="center"/>
    </xf>
    <xf numFmtId="0" fontId="9" fillId="6" borderId="11" xfId="0" applyFont="1" applyFill="1" applyBorder="1" applyAlignment="1">
      <alignment horizontal="center" vertical="center"/>
    </xf>
    <xf numFmtId="0" fontId="2" fillId="11" borderId="9" xfId="0" applyFont="1" applyFill="1" applyBorder="1" applyAlignment="1">
      <alignment horizontal="center"/>
    </xf>
    <xf numFmtId="0" fontId="2" fillId="11" borderId="10" xfId="0" applyFont="1" applyFill="1" applyBorder="1" applyAlignment="1">
      <alignment horizontal="center"/>
    </xf>
    <xf numFmtId="0" fontId="2" fillId="11" borderId="11" xfId="0" applyFont="1" applyFill="1" applyBorder="1" applyAlignment="1">
      <alignment horizontal="center"/>
    </xf>
    <xf numFmtId="0" fontId="19" fillId="0" borderId="0" xfId="0" applyFont="1" applyAlignment="1">
      <alignment horizontal="center" vertical="center"/>
    </xf>
    <xf numFmtId="0" fontId="19" fillId="0" borderId="19" xfId="0" applyFont="1" applyBorder="1" applyAlignment="1">
      <alignment horizontal="center" vertical="center"/>
    </xf>
    <xf numFmtId="0" fontId="11" fillId="9" borderId="18" xfId="0" applyFont="1" applyFill="1" applyBorder="1" applyAlignment="1">
      <alignment horizontal="center" vertical="center" wrapText="1"/>
    </xf>
    <xf numFmtId="0" fontId="11" fillId="9" borderId="15" xfId="0" applyFont="1" applyFill="1" applyBorder="1" applyAlignment="1">
      <alignment horizontal="center" vertical="center" wrapText="1"/>
    </xf>
    <xf numFmtId="0" fontId="11" fillId="9" borderId="17" xfId="0" applyFont="1" applyFill="1" applyBorder="1" applyAlignment="1">
      <alignment horizontal="center" vertical="center" wrapText="1"/>
    </xf>
    <xf numFmtId="0" fontId="11" fillId="9" borderId="14" xfId="0" applyFont="1" applyFill="1" applyBorder="1" applyAlignment="1">
      <alignment horizontal="center" vertical="center" wrapText="1"/>
    </xf>
    <xf numFmtId="0" fontId="29"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3"/>
  <sheetViews>
    <sheetView tabSelected="1" zoomScaleNormal="100" workbookViewId="0">
      <selection activeCell="B28" sqref="B28"/>
    </sheetView>
  </sheetViews>
  <sheetFormatPr defaultRowHeight="14.4" x14ac:dyDescent="0.3"/>
  <cols>
    <col min="1" max="1" width="66" bestFit="1" customWidth="1"/>
    <col min="2" max="2" width="13.6640625" customWidth="1"/>
    <col min="3" max="3" width="16.6640625" bestFit="1" customWidth="1"/>
    <col min="5" max="5" width="12.33203125" customWidth="1"/>
    <col min="8" max="8" width="20.109375" customWidth="1"/>
  </cols>
  <sheetData>
    <row r="1" spans="1:16" ht="15" customHeight="1" x14ac:dyDescent="0.25">
      <c r="A1" s="1"/>
      <c r="B1" s="2"/>
      <c r="C1" s="3"/>
    </row>
    <row r="2" spans="1:16" ht="15" customHeight="1" x14ac:dyDescent="0.25">
      <c r="A2" s="111" t="s">
        <v>72</v>
      </c>
      <c r="B2" s="112"/>
      <c r="C2" s="4"/>
    </row>
    <row r="3" spans="1:16" ht="15" customHeight="1" x14ac:dyDescent="0.25">
      <c r="A3" s="5"/>
      <c r="B3" s="6"/>
      <c r="C3" s="77"/>
    </row>
    <row r="4" spans="1:16" ht="15" x14ac:dyDescent="0.25">
      <c r="A4" s="8" t="s">
        <v>0</v>
      </c>
      <c r="B4" s="9"/>
      <c r="C4" s="4"/>
      <c r="E4" s="103" t="s">
        <v>112</v>
      </c>
    </row>
    <row r="5" spans="1:16" ht="15" x14ac:dyDescent="0.25">
      <c r="A5" s="10" t="s">
        <v>110</v>
      </c>
      <c r="B5" s="11"/>
      <c r="C5" s="7"/>
      <c r="E5" t="s">
        <v>136</v>
      </c>
      <c r="I5" s="68"/>
    </row>
    <row r="6" spans="1:16" ht="15" x14ac:dyDescent="0.25">
      <c r="A6" s="8" t="s">
        <v>1</v>
      </c>
      <c r="B6" s="9"/>
      <c r="C6" s="4"/>
      <c r="J6" t="s">
        <v>133</v>
      </c>
    </row>
    <row r="7" spans="1:16" ht="15" x14ac:dyDescent="0.25">
      <c r="A7" s="102" t="s">
        <v>111</v>
      </c>
      <c r="B7" s="12"/>
      <c r="C7" s="4"/>
    </row>
    <row r="8" spans="1:16" ht="24" customHeight="1" x14ac:dyDescent="0.25">
      <c r="A8" s="113"/>
      <c r="B8" s="114"/>
      <c r="C8" s="115"/>
    </row>
    <row r="9" spans="1:16" ht="15" customHeight="1" x14ac:dyDescent="0.25">
      <c r="A9" s="116" t="s">
        <v>77</v>
      </c>
      <c r="B9" s="117"/>
      <c r="C9" s="118"/>
    </row>
    <row r="10" spans="1:16" ht="45" x14ac:dyDescent="0.25">
      <c r="A10" s="13" t="s">
        <v>67</v>
      </c>
      <c r="B10" s="14">
        <v>27152.400000000001</v>
      </c>
      <c r="C10" s="15" t="s">
        <v>2</v>
      </c>
      <c r="D10" s="16" t="s">
        <v>135</v>
      </c>
      <c r="E10" s="16"/>
      <c r="F10" s="16"/>
      <c r="G10" s="16"/>
      <c r="H10" s="16"/>
      <c r="I10" s="16"/>
      <c r="J10" s="16"/>
      <c r="K10" s="16"/>
      <c r="L10" s="16"/>
      <c r="M10" s="16"/>
      <c r="N10" s="16"/>
      <c r="O10" s="16"/>
      <c r="P10" s="16"/>
    </row>
    <row r="11" spans="1:16" ht="15" x14ac:dyDescent="0.25">
      <c r="A11" s="17" t="s">
        <v>3</v>
      </c>
      <c r="B11" s="18">
        <v>570.54</v>
      </c>
      <c r="C11" s="19" t="s">
        <v>4</v>
      </c>
      <c r="D11" s="71" t="s">
        <v>143</v>
      </c>
      <c r="G11" s="16"/>
    </row>
    <row r="12" spans="1:16" ht="15" x14ac:dyDescent="0.25">
      <c r="A12" s="21" t="s">
        <v>113</v>
      </c>
      <c r="B12" s="22">
        <f>B10*B11</f>
        <v>15491530.296</v>
      </c>
      <c r="C12" s="23" t="s">
        <v>5</v>
      </c>
      <c r="D12" s="68" t="s">
        <v>137</v>
      </c>
      <c r="G12" s="16"/>
    </row>
    <row r="13" spans="1:16" ht="15" x14ac:dyDescent="0.25">
      <c r="A13" s="17" t="s">
        <v>6</v>
      </c>
      <c r="B13" s="24">
        <v>325851</v>
      </c>
      <c r="C13" s="19"/>
      <c r="G13" s="16"/>
    </row>
    <row r="14" spans="1:16" ht="15" x14ac:dyDescent="0.25">
      <c r="A14" s="21" t="s">
        <v>114</v>
      </c>
      <c r="B14" s="25">
        <f>B12/B13</f>
        <v>47.541760792509457</v>
      </c>
      <c r="C14" s="23" t="s">
        <v>7</v>
      </c>
      <c r="G14" s="26"/>
    </row>
    <row r="15" spans="1:16" ht="15.75" customHeight="1" x14ac:dyDescent="0.25">
      <c r="A15" s="119" t="s">
        <v>115</v>
      </c>
      <c r="B15" s="120"/>
      <c r="C15" s="121"/>
      <c r="G15" s="16"/>
    </row>
    <row r="16" spans="1:16" ht="15" x14ac:dyDescent="0.25">
      <c r="A16" s="17" t="s">
        <v>8</v>
      </c>
      <c r="B16" s="18">
        <v>90</v>
      </c>
      <c r="C16" s="19" t="s">
        <v>9</v>
      </c>
      <c r="D16">
        <f>B11/B16</f>
        <v>6.3393333333333333</v>
      </c>
      <c r="E16" t="s">
        <v>134</v>
      </c>
      <c r="G16" s="16"/>
    </row>
    <row r="17" spans="1:13" ht="15" x14ac:dyDescent="0.25">
      <c r="A17" s="21" t="s">
        <v>10</v>
      </c>
      <c r="B17" s="27">
        <f>B14/B16</f>
        <v>0.52824178658343846</v>
      </c>
      <c r="C17" s="23" t="s">
        <v>11</v>
      </c>
      <c r="G17" s="16"/>
    </row>
    <row r="18" spans="1:13" ht="15" x14ac:dyDescent="0.25">
      <c r="A18" s="21" t="s">
        <v>12</v>
      </c>
      <c r="B18" s="22">
        <f>B17*B13</f>
        <v>172128.11439999999</v>
      </c>
      <c r="C18" s="23" t="s">
        <v>13</v>
      </c>
      <c r="G18" s="16"/>
    </row>
    <row r="19" spans="1:13" s="28" customFormat="1" ht="15" customHeight="1" x14ac:dyDescent="0.25">
      <c r="A19" s="122" t="s">
        <v>14</v>
      </c>
      <c r="B19" s="123"/>
      <c r="C19" s="124"/>
      <c r="D19"/>
    </row>
    <row r="20" spans="1:13" ht="15" x14ac:dyDescent="0.25">
      <c r="A20" s="37" t="s">
        <v>15</v>
      </c>
      <c r="B20" s="38">
        <v>50000</v>
      </c>
      <c r="C20" s="39" t="s">
        <v>16</v>
      </c>
      <c r="D20" s="20" t="s">
        <v>116</v>
      </c>
      <c r="E20" s="16"/>
      <c r="F20" s="16"/>
      <c r="G20" s="16"/>
      <c r="H20" s="16"/>
      <c r="I20" s="16"/>
      <c r="J20" s="16"/>
      <c r="K20" s="16"/>
      <c r="L20" s="16"/>
      <c r="M20" s="16"/>
    </row>
    <row r="21" spans="1:13" ht="15" x14ac:dyDescent="0.25">
      <c r="A21" s="40" t="s">
        <v>17</v>
      </c>
      <c r="B21" s="38">
        <v>9</v>
      </c>
      <c r="C21" s="39" t="s">
        <v>18</v>
      </c>
      <c r="G21" s="16"/>
    </row>
    <row r="22" spans="1:13" x14ac:dyDescent="0.3">
      <c r="A22" s="40" t="s">
        <v>19</v>
      </c>
      <c r="B22" s="29">
        <v>0.6</v>
      </c>
      <c r="C22" s="39" t="s">
        <v>18</v>
      </c>
      <c r="D22" s="20" t="s">
        <v>119</v>
      </c>
      <c r="G22" s="16"/>
    </row>
    <row r="23" spans="1:13" x14ac:dyDescent="0.3">
      <c r="A23" s="37" t="s">
        <v>20</v>
      </c>
      <c r="B23" s="38">
        <v>129</v>
      </c>
      <c r="C23" s="39" t="s">
        <v>21</v>
      </c>
      <c r="G23" s="16"/>
    </row>
    <row r="24" spans="1:13" x14ac:dyDescent="0.3">
      <c r="A24" s="37" t="s">
        <v>22</v>
      </c>
      <c r="B24" s="41">
        <f>B23*((B21-B22)/100)</f>
        <v>10.836</v>
      </c>
      <c r="C24" s="39" t="s">
        <v>21</v>
      </c>
      <c r="G24" s="16"/>
    </row>
    <row r="25" spans="1:13" x14ac:dyDescent="0.3">
      <c r="A25" s="40" t="s">
        <v>23</v>
      </c>
      <c r="B25" s="38">
        <f>B24*27/7.48</f>
        <v>39.113903743315504</v>
      </c>
      <c r="C25" s="39" t="s">
        <v>24</v>
      </c>
      <c r="D25" s="20" t="s">
        <v>118</v>
      </c>
      <c r="E25" s="20"/>
      <c r="F25" s="20"/>
      <c r="G25" s="20"/>
      <c r="H25" s="20"/>
      <c r="I25" s="20"/>
      <c r="J25" s="20"/>
      <c r="K25" s="20"/>
    </row>
    <row r="26" spans="1:13" x14ac:dyDescent="0.3">
      <c r="A26" s="37" t="s">
        <v>25</v>
      </c>
      <c r="B26" s="41">
        <f>1+2/3</f>
        <v>1.6666666666666665</v>
      </c>
      <c r="C26" s="39"/>
      <c r="D26" s="16"/>
      <c r="G26" s="16"/>
    </row>
    <row r="27" spans="1:13" x14ac:dyDescent="0.3">
      <c r="A27" s="37" t="s">
        <v>23</v>
      </c>
      <c r="B27" s="42">
        <f>B25*B26</f>
        <v>65.189839572192497</v>
      </c>
      <c r="C27" s="39" t="s">
        <v>24</v>
      </c>
      <c r="D27" s="16"/>
      <c r="E27" s="16"/>
      <c r="F27" s="16"/>
      <c r="G27" s="16"/>
      <c r="H27" s="16"/>
      <c r="I27" s="16"/>
      <c r="J27" s="16"/>
      <c r="K27" s="16"/>
      <c r="L27" s="16"/>
      <c r="M27" s="16"/>
    </row>
    <row r="28" spans="1:13" x14ac:dyDescent="0.3">
      <c r="A28" s="43" t="s">
        <v>26</v>
      </c>
      <c r="B28" s="44">
        <f>B20*B27</f>
        <v>3259491.9786096248</v>
      </c>
      <c r="C28" s="45" t="s">
        <v>5</v>
      </c>
      <c r="D28" s="16"/>
      <c r="E28" s="16"/>
      <c r="F28" s="16"/>
      <c r="G28" s="16"/>
      <c r="H28" s="16"/>
      <c r="I28" s="16"/>
      <c r="J28" s="16"/>
      <c r="K28" s="16"/>
      <c r="L28" s="16"/>
      <c r="M28" s="16"/>
    </row>
    <row r="29" spans="1:13" x14ac:dyDescent="0.3">
      <c r="A29" s="37" t="s">
        <v>6</v>
      </c>
      <c r="B29" s="38">
        <v>325851</v>
      </c>
      <c r="C29" s="39"/>
      <c r="D29" s="16"/>
    </row>
    <row r="30" spans="1:13" x14ac:dyDescent="0.3">
      <c r="A30" s="43" t="s">
        <v>27</v>
      </c>
      <c r="B30" s="46">
        <f>B28/B29</f>
        <v>10.003013581697232</v>
      </c>
      <c r="C30" s="45" t="s">
        <v>7</v>
      </c>
      <c r="D30" s="16"/>
    </row>
    <row r="31" spans="1:13" ht="3.75" customHeight="1" x14ac:dyDescent="0.3">
      <c r="A31" s="125"/>
      <c r="B31" s="126"/>
      <c r="C31" s="127"/>
      <c r="D31" s="20"/>
      <c r="G31" s="16"/>
    </row>
    <row r="32" spans="1:13" x14ac:dyDescent="0.3">
      <c r="A32" s="37" t="s">
        <v>28</v>
      </c>
      <c r="B32" s="38">
        <v>4</v>
      </c>
      <c r="C32" s="39" t="s">
        <v>29</v>
      </c>
      <c r="D32" s="20" t="s">
        <v>117</v>
      </c>
      <c r="E32" s="20"/>
      <c r="F32" s="67"/>
      <c r="G32" s="67"/>
      <c r="H32" s="67"/>
      <c r="I32" s="67"/>
      <c r="J32" s="67"/>
    </row>
    <row r="33" spans="1:23" x14ac:dyDescent="0.3">
      <c r="A33" s="37" t="s">
        <v>30</v>
      </c>
      <c r="B33" s="38">
        <f>B32*24</f>
        <v>96</v>
      </c>
      <c r="C33" s="39" t="s">
        <v>31</v>
      </c>
      <c r="D33" s="20"/>
      <c r="E33" s="20"/>
      <c r="F33" s="20"/>
      <c r="G33" s="20"/>
      <c r="H33" s="20"/>
      <c r="I33" s="20"/>
      <c r="J33" s="20"/>
    </row>
    <row r="34" spans="1:23" x14ac:dyDescent="0.3">
      <c r="A34" s="37" t="s">
        <v>32</v>
      </c>
      <c r="B34" s="47">
        <f>ROUNDUP((5/33)*60,0)</f>
        <v>10</v>
      </c>
      <c r="C34" s="39" t="s">
        <v>33</v>
      </c>
      <c r="D34" s="20" t="s">
        <v>120</v>
      </c>
      <c r="E34" s="20"/>
      <c r="F34" s="20"/>
      <c r="G34" s="20"/>
      <c r="H34" s="20"/>
      <c r="I34" s="20"/>
      <c r="J34" s="20"/>
    </row>
    <row r="35" spans="1:23" x14ac:dyDescent="0.3">
      <c r="A35" s="37" t="s">
        <v>34</v>
      </c>
      <c r="B35" s="47">
        <f>60/B34</f>
        <v>6</v>
      </c>
      <c r="C35" s="39" t="s">
        <v>35</v>
      </c>
      <c r="D35" s="16"/>
      <c r="E35" s="16"/>
      <c r="F35" s="16"/>
      <c r="G35" s="16"/>
      <c r="H35" s="16"/>
      <c r="I35" s="16"/>
      <c r="J35" s="16"/>
    </row>
    <row r="36" spans="1:23" x14ac:dyDescent="0.3">
      <c r="A36" s="37" t="s">
        <v>36</v>
      </c>
      <c r="B36" s="47">
        <f>B35*B33</f>
        <v>576</v>
      </c>
      <c r="C36" s="39" t="s">
        <v>37</v>
      </c>
    </row>
    <row r="37" spans="1:23" x14ac:dyDescent="0.3">
      <c r="A37" s="37" t="s">
        <v>38</v>
      </c>
      <c r="B37" s="38">
        <f>B36*8</f>
        <v>4608</v>
      </c>
      <c r="C37" s="39" t="s">
        <v>39</v>
      </c>
    </row>
    <row r="38" spans="1:23" x14ac:dyDescent="0.3">
      <c r="A38" s="37" t="s">
        <v>40</v>
      </c>
      <c r="B38" s="38">
        <v>90</v>
      </c>
      <c r="C38" s="39" t="s">
        <v>41</v>
      </c>
      <c r="D38" s="68"/>
    </row>
    <row r="39" spans="1:23" x14ac:dyDescent="0.3">
      <c r="A39" s="43" t="s">
        <v>42</v>
      </c>
      <c r="B39" s="48">
        <f>B40/B29</f>
        <v>0.11114459535219147</v>
      </c>
      <c r="C39" s="45" t="s">
        <v>11</v>
      </c>
    </row>
    <row r="40" spans="1:23" x14ac:dyDescent="0.3">
      <c r="A40" s="43" t="s">
        <v>42</v>
      </c>
      <c r="B40" s="44">
        <f>B28/B38</f>
        <v>36216.57754010694</v>
      </c>
      <c r="C40" s="45" t="s">
        <v>13</v>
      </c>
    </row>
    <row r="41" spans="1:23" x14ac:dyDescent="0.3">
      <c r="A41" s="128" t="s">
        <v>43</v>
      </c>
      <c r="B41" s="129"/>
      <c r="C41" s="130"/>
      <c r="D41" s="104" t="s">
        <v>139</v>
      </c>
      <c r="E41" s="97"/>
      <c r="F41" s="97"/>
      <c r="G41" s="97"/>
      <c r="H41" s="97"/>
      <c r="I41" s="97"/>
      <c r="J41" s="97"/>
      <c r="K41" s="97"/>
      <c r="L41" s="97"/>
      <c r="M41" s="97"/>
      <c r="N41" s="97"/>
      <c r="O41" s="97"/>
    </row>
    <row r="42" spans="1:23" x14ac:dyDescent="0.3">
      <c r="A42" s="31" t="s">
        <v>51</v>
      </c>
      <c r="B42" s="73">
        <f>((65*(14*44*1/27))+((1*(110*215*1.5/27))))*2</f>
        <v>5593.7037037037035</v>
      </c>
      <c r="C42" s="30" t="s">
        <v>16</v>
      </c>
      <c r="D42" s="71" t="s">
        <v>140</v>
      </c>
    </row>
    <row r="43" spans="1:23" s="68" customFormat="1" x14ac:dyDescent="0.3">
      <c r="A43" s="72" t="s">
        <v>70</v>
      </c>
      <c r="B43" s="70">
        <v>40.39481</v>
      </c>
      <c r="C43" s="69" t="s">
        <v>24</v>
      </c>
      <c r="D43" s="20" t="s">
        <v>69</v>
      </c>
    </row>
    <row r="44" spans="1:23" x14ac:dyDescent="0.3">
      <c r="A44" s="74" t="s">
        <v>71</v>
      </c>
      <c r="B44" s="76">
        <f>B42*B43</f>
        <v>225956.5983074074</v>
      </c>
      <c r="C44" s="75" t="s">
        <v>5</v>
      </c>
      <c r="D44" s="71" t="s">
        <v>99</v>
      </c>
    </row>
    <row r="45" spans="1:23" x14ac:dyDescent="0.3">
      <c r="A45" s="131" t="s">
        <v>44</v>
      </c>
      <c r="B45" s="132"/>
      <c r="C45" s="133"/>
      <c r="D45" s="104" t="s">
        <v>123</v>
      </c>
      <c r="E45" s="97"/>
      <c r="F45" s="97"/>
      <c r="G45" s="97"/>
      <c r="H45" s="97"/>
      <c r="I45" s="97"/>
      <c r="J45" s="97"/>
      <c r="K45" s="97"/>
      <c r="L45" s="97"/>
    </row>
    <row r="46" spans="1:23" x14ac:dyDescent="0.3">
      <c r="A46" s="72" t="s">
        <v>86</v>
      </c>
      <c r="B46" s="78">
        <v>365</v>
      </c>
      <c r="C46" s="79" t="s">
        <v>45</v>
      </c>
      <c r="D46" s="97" t="s">
        <v>138</v>
      </c>
      <c r="E46" s="97"/>
      <c r="F46" s="97"/>
      <c r="G46" s="97"/>
      <c r="H46" s="97"/>
      <c r="I46" s="97"/>
      <c r="J46" s="97"/>
      <c r="K46" s="97"/>
      <c r="L46" s="97"/>
      <c r="M46" s="97"/>
      <c r="N46" s="97"/>
      <c r="O46" s="97"/>
      <c r="P46" s="97"/>
      <c r="Q46" s="97"/>
      <c r="R46" s="97"/>
      <c r="S46" s="97"/>
      <c r="T46" s="97"/>
      <c r="U46" s="97"/>
      <c r="V46" s="97"/>
      <c r="W46" s="97"/>
    </row>
    <row r="47" spans="1:23" x14ac:dyDescent="0.3">
      <c r="A47" s="72" t="s">
        <v>73</v>
      </c>
      <c r="B47" s="78">
        <v>30000</v>
      </c>
      <c r="C47" s="79" t="s">
        <v>13</v>
      </c>
      <c r="D47" s="20" t="s">
        <v>127</v>
      </c>
      <c r="E47" s="20"/>
      <c r="F47" s="20"/>
      <c r="G47" s="20"/>
    </row>
    <row r="48" spans="1:23" s="68" customFormat="1" x14ac:dyDescent="0.3">
      <c r="A48" s="72" t="s">
        <v>75</v>
      </c>
      <c r="B48" s="82">
        <f>9*3</f>
        <v>27</v>
      </c>
      <c r="C48" s="79" t="s">
        <v>82</v>
      </c>
      <c r="D48" s="71" t="s">
        <v>122</v>
      </c>
      <c r="E48" s="71"/>
      <c r="F48" s="71"/>
      <c r="G48" s="71"/>
      <c r="H48" s="71"/>
    </row>
    <row r="49" spans="1:12" s="68" customFormat="1" x14ac:dyDescent="0.3">
      <c r="A49" s="72" t="s">
        <v>74</v>
      </c>
      <c r="B49" s="78">
        <v>54000</v>
      </c>
      <c r="C49" s="79" t="s">
        <v>13</v>
      </c>
      <c r="D49" s="71" t="s">
        <v>121</v>
      </c>
      <c r="E49" s="71"/>
      <c r="F49" s="71"/>
      <c r="G49" s="71"/>
    </row>
    <row r="50" spans="1:12" s="68" customFormat="1" x14ac:dyDescent="0.3">
      <c r="A50" s="72" t="s">
        <v>76</v>
      </c>
      <c r="B50" s="78">
        <f>B48*B49</f>
        <v>1458000</v>
      </c>
      <c r="C50" s="79" t="s">
        <v>5</v>
      </c>
      <c r="D50" s="71"/>
      <c r="E50" s="71"/>
      <c r="F50" s="71"/>
      <c r="G50" s="71"/>
    </row>
    <row r="51" spans="1:12" x14ac:dyDescent="0.3">
      <c r="A51" s="72" t="s">
        <v>46</v>
      </c>
      <c r="B51" s="80">
        <f>((B46-9)*B47)+B50</f>
        <v>12138000</v>
      </c>
      <c r="C51" s="81" t="s">
        <v>5</v>
      </c>
    </row>
    <row r="52" spans="1:12" s="68" customFormat="1" x14ac:dyDescent="0.3">
      <c r="A52" s="134" t="s">
        <v>78</v>
      </c>
      <c r="B52" s="135"/>
      <c r="C52" s="136"/>
    </row>
    <row r="53" spans="1:12" s="68" customFormat="1" x14ac:dyDescent="0.3">
      <c r="A53" s="72" t="s">
        <v>80</v>
      </c>
      <c r="B53" s="80">
        <f>10000*3</f>
        <v>30000</v>
      </c>
      <c r="C53" s="81" t="s">
        <v>5</v>
      </c>
      <c r="D53" s="68" t="s">
        <v>83</v>
      </c>
    </row>
    <row r="54" spans="1:12" s="68" customFormat="1" x14ac:dyDescent="0.3">
      <c r="A54" s="72" t="s">
        <v>79</v>
      </c>
      <c r="B54" s="80">
        <f>1000*(365+259)</f>
        <v>624000</v>
      </c>
      <c r="C54" s="81" t="s">
        <v>5</v>
      </c>
      <c r="D54" s="68" t="s">
        <v>125</v>
      </c>
    </row>
    <row r="55" spans="1:12" s="68" customFormat="1" x14ac:dyDescent="0.3">
      <c r="A55" s="72" t="s">
        <v>81</v>
      </c>
      <c r="B55" s="80">
        <f>3300*B11</f>
        <v>1882781.9999999998</v>
      </c>
      <c r="C55" s="81" t="s">
        <v>5</v>
      </c>
      <c r="D55" s="68" t="s">
        <v>84</v>
      </c>
    </row>
    <row r="56" spans="1:12" s="68" customFormat="1" x14ac:dyDescent="0.3">
      <c r="A56" s="105" t="s">
        <v>88</v>
      </c>
      <c r="B56" s="106"/>
      <c r="C56" s="107" t="s">
        <v>5</v>
      </c>
      <c r="D56" s="68" t="s">
        <v>126</v>
      </c>
    </row>
    <row r="57" spans="1:12" x14ac:dyDescent="0.3">
      <c r="A57" s="108" t="s">
        <v>47</v>
      </c>
      <c r="B57" s="109"/>
      <c r="C57" s="110"/>
    </row>
    <row r="58" spans="1:12" x14ac:dyDescent="0.3">
      <c r="A58" s="32" t="s">
        <v>128</v>
      </c>
      <c r="B58" s="33">
        <f>B18+B47</f>
        <v>202128.11439999999</v>
      </c>
      <c r="C58" s="34" t="s">
        <v>48</v>
      </c>
      <c r="D58" s="16"/>
      <c r="E58" s="16"/>
      <c r="F58" s="16"/>
      <c r="G58" s="16"/>
      <c r="H58" s="16"/>
      <c r="I58" s="16"/>
      <c r="J58" s="16"/>
      <c r="K58" s="16"/>
    </row>
    <row r="59" spans="1:12" x14ac:dyDescent="0.3">
      <c r="A59" s="32" t="s">
        <v>129</v>
      </c>
      <c r="B59" s="33">
        <f>B40+B47</f>
        <v>66216.57754010694</v>
      </c>
      <c r="C59" s="34" t="s">
        <v>48</v>
      </c>
      <c r="D59" s="16"/>
      <c r="E59" s="16"/>
      <c r="F59" s="16"/>
      <c r="G59" s="16"/>
      <c r="H59" s="16"/>
      <c r="I59" s="16"/>
      <c r="J59" s="16"/>
      <c r="K59" s="16"/>
    </row>
    <row r="60" spans="1:12" x14ac:dyDescent="0.3">
      <c r="A60" s="35" t="s">
        <v>49</v>
      </c>
      <c r="B60" s="36">
        <f>B55+B54+B53+B51+B44+B28+B12+B56</f>
        <v>33651760.872917026</v>
      </c>
      <c r="C60" s="83" t="s">
        <v>50</v>
      </c>
      <c r="D60" s="16"/>
      <c r="E60" s="16"/>
      <c r="F60" s="16"/>
      <c r="G60" s="16"/>
      <c r="H60" s="16"/>
      <c r="I60" s="16"/>
      <c r="J60" s="16"/>
      <c r="K60" s="16"/>
    </row>
    <row r="61" spans="1:12" x14ac:dyDescent="0.3">
      <c r="A61" s="35"/>
      <c r="B61" s="46">
        <f>B60/325851</f>
        <v>103.27346202073042</v>
      </c>
      <c r="C61" s="83" t="s">
        <v>7</v>
      </c>
      <c r="D61" s="16"/>
      <c r="E61" s="16"/>
      <c r="F61" s="16"/>
      <c r="G61" s="16"/>
      <c r="H61" s="16"/>
      <c r="I61" s="16"/>
      <c r="J61" s="16"/>
      <c r="K61" s="16"/>
    </row>
    <row r="62" spans="1:12" x14ac:dyDescent="0.3">
      <c r="D62" s="16"/>
      <c r="E62" s="16"/>
    </row>
    <row r="63" spans="1:12" x14ac:dyDescent="0.3">
      <c r="L63" s="88"/>
    </row>
  </sheetData>
  <mergeCells count="10">
    <mergeCell ref="A57:C57"/>
    <mergeCell ref="A2:B2"/>
    <mergeCell ref="A8:C8"/>
    <mergeCell ref="A9:C9"/>
    <mergeCell ref="A15:C15"/>
    <mergeCell ref="A19:C19"/>
    <mergeCell ref="A31:C31"/>
    <mergeCell ref="A41:C41"/>
    <mergeCell ref="A45:C45"/>
    <mergeCell ref="A52:C52"/>
  </mergeCells>
  <printOptions horizontalCentered="1"/>
  <pageMargins left="0.7" right="0.7" top="0.75" bottom="0.75" header="0.3" footer="0.3"/>
  <pageSetup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workbookViewId="0">
      <selection activeCell="B37" sqref="A37:B41"/>
    </sheetView>
  </sheetViews>
  <sheetFormatPr defaultRowHeight="14.4" x14ac:dyDescent="0.3"/>
  <cols>
    <col min="1" max="1" width="30" bestFit="1" customWidth="1"/>
    <col min="2" max="2" width="13.88671875" bestFit="1" customWidth="1"/>
    <col min="3" max="3" width="12.5546875" bestFit="1" customWidth="1"/>
  </cols>
  <sheetData>
    <row r="1" spans="1:7" ht="41.25" thickBot="1" x14ac:dyDescent="0.3">
      <c r="A1" s="61" t="s">
        <v>53</v>
      </c>
      <c r="B1" s="49" t="s">
        <v>55</v>
      </c>
      <c r="C1" s="49" t="s">
        <v>56</v>
      </c>
    </row>
    <row r="2" spans="1:7" ht="35.25" thickBot="1" x14ac:dyDescent="0.3">
      <c r="A2" s="62" t="s">
        <v>57</v>
      </c>
      <c r="B2" s="63" t="s">
        <v>58</v>
      </c>
      <c r="C2" s="63" t="s">
        <v>59</v>
      </c>
    </row>
    <row r="3" spans="1:7" ht="33.75" thickBot="1" x14ac:dyDescent="0.3">
      <c r="A3" s="62" t="s">
        <v>60</v>
      </c>
      <c r="B3" s="63" t="s">
        <v>61</v>
      </c>
      <c r="C3" s="63" t="s">
        <v>59</v>
      </c>
      <c r="F3">
        <f>60*325851</f>
        <v>19551060</v>
      </c>
      <c r="G3" t="s">
        <v>52</v>
      </c>
    </row>
    <row r="4" spans="1:7" ht="17.25" thickBot="1" x14ac:dyDescent="0.3">
      <c r="A4" s="62" t="s">
        <v>62</v>
      </c>
      <c r="B4" s="63" t="s">
        <v>63</v>
      </c>
      <c r="C4" s="63" t="s">
        <v>64</v>
      </c>
      <c r="F4">
        <f>F3/210</f>
        <v>93100.28571428571</v>
      </c>
    </row>
    <row r="5" spans="1:7" ht="17.25" thickBot="1" x14ac:dyDescent="0.3">
      <c r="A5" s="64" t="s">
        <v>65</v>
      </c>
      <c r="B5" s="65"/>
      <c r="C5" s="66" t="s">
        <v>66</v>
      </c>
      <c r="F5">
        <f>F4/3000</f>
        <v>31.033428571428569</v>
      </c>
      <c r="G5" t="s">
        <v>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workbookViewId="0">
      <selection activeCell="E9" sqref="E9"/>
    </sheetView>
  </sheetViews>
  <sheetFormatPr defaultRowHeight="14.4" x14ac:dyDescent="0.3"/>
  <cols>
    <col min="1" max="1" width="22.33203125" customWidth="1"/>
    <col min="2" max="2" width="12.6640625" customWidth="1"/>
    <col min="3" max="3" width="11.33203125" customWidth="1"/>
    <col min="4" max="4" width="18.33203125" style="68" hidden="1" customWidth="1"/>
    <col min="5" max="5" width="81.44140625" customWidth="1"/>
  </cols>
  <sheetData>
    <row r="1" spans="1:12" s="68" customFormat="1" x14ac:dyDescent="0.3">
      <c r="A1" s="137" t="s">
        <v>124</v>
      </c>
      <c r="B1" s="137"/>
      <c r="C1" s="137"/>
      <c r="D1" s="137"/>
      <c r="E1" s="137"/>
    </row>
    <row r="2" spans="1:12" s="68" customFormat="1" ht="15" thickBot="1" x14ac:dyDescent="0.35">
      <c r="A2" s="138"/>
      <c r="B2" s="138"/>
      <c r="C2" s="138"/>
      <c r="D2" s="138"/>
      <c r="E2" s="138"/>
    </row>
    <row r="3" spans="1:12" ht="24" customHeight="1" thickBot="1" x14ac:dyDescent="0.35">
      <c r="A3" s="139" t="s">
        <v>53</v>
      </c>
      <c r="B3" s="141" t="s">
        <v>85</v>
      </c>
      <c r="C3" s="142"/>
      <c r="D3" s="139" t="s">
        <v>87</v>
      </c>
      <c r="E3" s="139" t="s">
        <v>100</v>
      </c>
    </row>
    <row r="4" spans="1:12" ht="22.5" customHeight="1" thickBot="1" x14ac:dyDescent="0.35">
      <c r="A4" s="140"/>
      <c r="B4" s="58" t="s">
        <v>50</v>
      </c>
      <c r="C4" s="59" t="s">
        <v>54</v>
      </c>
      <c r="D4" s="140"/>
      <c r="E4" s="140"/>
    </row>
    <row r="5" spans="1:12" ht="51.75" thickBot="1" x14ac:dyDescent="0.3">
      <c r="A5" s="50" t="s">
        <v>90</v>
      </c>
      <c r="B5" s="53">
        <f>ROUNDUP('Construction Demand - JVR Solar'!B12, -3)</f>
        <v>15492000</v>
      </c>
      <c r="C5" s="54">
        <f>ROUNDUP(('Construction Demand - JVR Solar'!B12)/325851, 1)</f>
        <v>47.6</v>
      </c>
      <c r="D5" s="55" t="s">
        <v>106</v>
      </c>
      <c r="E5" s="51" t="s">
        <v>144</v>
      </c>
    </row>
    <row r="6" spans="1:12" s="68" customFormat="1" ht="111" thickBot="1" x14ac:dyDescent="0.35">
      <c r="A6" s="51" t="s">
        <v>89</v>
      </c>
      <c r="B6" s="53">
        <f>ROUNDUP('Construction Demand - JVR Solar'!B28,-3)</f>
        <v>3260000</v>
      </c>
      <c r="C6" s="54">
        <f>ROUNDUP('Construction Demand - JVR Solar'!B28/325851, 1)</f>
        <v>10.1</v>
      </c>
      <c r="D6" s="55" t="s">
        <v>106</v>
      </c>
      <c r="E6" s="51" t="s">
        <v>132</v>
      </c>
    </row>
    <row r="7" spans="1:12" ht="51.75" thickBot="1" x14ac:dyDescent="0.3">
      <c r="A7" s="51" t="s">
        <v>101</v>
      </c>
      <c r="B7" s="53">
        <f>ROUNDUP('Construction Demand - JVR Solar'!B51+'Construction Demand - JVR Solar'!B55, -3)</f>
        <v>14021000</v>
      </c>
      <c r="C7" s="54">
        <f>ROUNDUP(('Construction Demand - JVR Solar'!B51+'Construction Demand - JVR Solar'!B55)/325851,1)</f>
        <v>43.1</v>
      </c>
      <c r="D7" s="55" t="s">
        <v>107</v>
      </c>
      <c r="E7" s="60" t="s">
        <v>141</v>
      </c>
    </row>
    <row r="8" spans="1:12" s="68" customFormat="1" ht="64.5" thickBot="1" x14ac:dyDescent="0.3">
      <c r="A8" s="51" t="s">
        <v>145</v>
      </c>
      <c r="B8" s="53">
        <f>ROUNDUP('Construction Demand - JVR Solar'!B53+'Construction Demand - JVR Solar'!B54+'Construction Demand - JVR Solar'!B56+'Construction Demand - JVR Solar'!B44,-3)</f>
        <v>880000</v>
      </c>
      <c r="C8" s="54">
        <f>ROUNDUP(('Construction Demand - JVR Solar'!B53+'Construction Demand - JVR Solar'!B54+'Construction Demand - JVR Solar'!B56+'Construction Demand - JVR Solar'!B44)/325851, 1)</f>
        <v>2.8000000000000003</v>
      </c>
      <c r="D8" s="55" t="s">
        <v>107</v>
      </c>
      <c r="E8" s="60" t="s">
        <v>142</v>
      </c>
      <c r="H8"/>
      <c r="I8"/>
      <c r="J8"/>
      <c r="K8"/>
      <c r="L8"/>
    </row>
    <row r="9" spans="1:12" s="68" customFormat="1" ht="15.75" thickBot="1" x14ac:dyDescent="0.3">
      <c r="A9" s="94" t="s">
        <v>130</v>
      </c>
      <c r="B9" s="95">
        <f>B5+B6</f>
        <v>18752000</v>
      </c>
      <c r="C9" s="96">
        <f>C5+C6</f>
        <v>57.7</v>
      </c>
      <c r="D9" s="92"/>
      <c r="E9" s="93"/>
    </row>
    <row r="10" spans="1:12" s="68" customFormat="1" ht="15" thickBot="1" x14ac:dyDescent="0.35">
      <c r="A10" s="94" t="s">
        <v>131</v>
      </c>
      <c r="B10" s="95">
        <f>B7+B8</f>
        <v>14901000</v>
      </c>
      <c r="C10" s="96">
        <f>C7+C8</f>
        <v>45.9</v>
      </c>
      <c r="D10" s="92"/>
      <c r="E10" s="93"/>
    </row>
    <row r="11" spans="1:12" ht="15.75" customHeight="1" thickBot="1" x14ac:dyDescent="0.35">
      <c r="A11" s="52" t="s">
        <v>97</v>
      </c>
      <c r="B11" s="56">
        <f>'Construction Demand - JVR Solar'!B60</f>
        <v>33651760.872917026</v>
      </c>
      <c r="C11" s="57">
        <f>'Construction Demand - JVR Solar'!B60/325851</f>
        <v>103.27346202073042</v>
      </c>
      <c r="D11" s="91" t="s">
        <v>102</v>
      </c>
      <c r="E11" s="90" t="s">
        <v>103</v>
      </c>
    </row>
    <row r="16" spans="1:12" x14ac:dyDescent="0.3">
      <c r="D16"/>
    </row>
    <row r="17" s="68" customFormat="1" x14ac:dyDescent="0.3"/>
    <row r="18" s="68" customFormat="1" x14ac:dyDescent="0.3"/>
    <row r="19" s="68" customFormat="1" x14ac:dyDescent="0.3"/>
    <row r="20" s="68" customFormat="1" x14ac:dyDescent="0.3"/>
    <row r="21" s="68" customFormat="1" x14ac:dyDescent="0.3"/>
    <row r="22" s="68" customFormat="1" x14ac:dyDescent="0.3"/>
    <row r="23" s="68" customFormat="1" x14ac:dyDescent="0.3"/>
    <row r="24" s="68" customFormat="1" x14ac:dyDescent="0.3"/>
    <row r="25" s="68" customFormat="1" x14ac:dyDescent="0.3"/>
    <row r="26" s="68" customFormat="1" x14ac:dyDescent="0.3"/>
    <row r="27" s="68" customFormat="1" x14ac:dyDescent="0.3"/>
    <row r="28" s="68" customFormat="1" x14ac:dyDescent="0.3"/>
    <row r="29" s="68" customFormat="1" x14ac:dyDescent="0.3"/>
    <row r="30" s="68" customFormat="1" x14ac:dyDescent="0.3"/>
    <row r="31" s="68" customFormat="1" x14ac:dyDescent="0.3"/>
    <row r="32" s="68" customFormat="1" x14ac:dyDescent="0.3"/>
    <row r="33" spans="4:4" s="68" customFormat="1" x14ac:dyDescent="0.3"/>
    <row r="34" spans="4:4" s="68" customFormat="1" x14ac:dyDescent="0.3"/>
    <row r="35" spans="4:4" s="68" customFormat="1" x14ac:dyDescent="0.3"/>
    <row r="36" spans="4:4" s="68" customFormat="1" x14ac:dyDescent="0.3"/>
    <row r="37" spans="4:4" s="68" customFormat="1" x14ac:dyDescent="0.3"/>
    <row r="38" spans="4:4" s="68" customFormat="1" x14ac:dyDescent="0.3"/>
    <row r="39" spans="4:4" s="68" customFormat="1" x14ac:dyDescent="0.3"/>
    <row r="40" spans="4:4" s="68" customFormat="1" x14ac:dyDescent="0.3"/>
    <row r="41" spans="4:4" s="68" customFormat="1" x14ac:dyDescent="0.3"/>
    <row r="42" spans="4:4" s="68" customFormat="1" x14ac:dyDescent="0.3"/>
    <row r="43" spans="4:4" s="68" customFormat="1" x14ac:dyDescent="0.3"/>
    <row r="44" spans="4:4" x14ac:dyDescent="0.3">
      <c r="D44"/>
    </row>
    <row r="45" spans="4:4" x14ac:dyDescent="0.3">
      <c r="D45"/>
    </row>
    <row r="46" spans="4:4" x14ac:dyDescent="0.3">
      <c r="D46"/>
    </row>
    <row r="47" spans="4:4" x14ac:dyDescent="0.3">
      <c r="D47"/>
    </row>
    <row r="48" spans="4:4" x14ac:dyDescent="0.3">
      <c r="D48"/>
    </row>
    <row r="49" spans="1:5" x14ac:dyDescent="0.3">
      <c r="C49" s="84"/>
      <c r="D49"/>
    </row>
    <row r="50" spans="1:5" x14ac:dyDescent="0.3">
      <c r="A50" t="s">
        <v>53</v>
      </c>
      <c r="B50" t="s">
        <v>109</v>
      </c>
      <c r="D50" s="101" t="s">
        <v>98</v>
      </c>
      <c r="E50" s="89" t="s">
        <v>108</v>
      </c>
    </row>
    <row r="51" spans="1:5" ht="15" thickBot="1" x14ac:dyDescent="0.35">
      <c r="A51" s="94" t="s">
        <v>104</v>
      </c>
      <c r="B51" s="95">
        <f>B5+B6</f>
        <v>18752000</v>
      </c>
      <c r="C51" s="96">
        <f>B51/325851</f>
        <v>57.547774903253327</v>
      </c>
      <c r="D51" s="95">
        <f>100000*36</f>
        <v>3600000</v>
      </c>
      <c r="E51" s="98">
        <f>B51-D51</f>
        <v>15152000</v>
      </c>
    </row>
    <row r="52" spans="1:5" ht="15" thickBot="1" x14ac:dyDescent="0.35">
      <c r="A52" s="94" t="s">
        <v>105</v>
      </c>
      <c r="B52" s="95">
        <f>B7+B8</f>
        <v>14901000</v>
      </c>
      <c r="C52" s="96">
        <f>B52/325851</f>
        <v>45.729489858861875</v>
      </c>
      <c r="D52" s="95">
        <f>B52</f>
        <v>14901000</v>
      </c>
      <c r="E52" s="98">
        <v>0</v>
      </c>
    </row>
    <row r="53" spans="1:5" ht="15" thickBot="1" x14ac:dyDescent="0.35">
      <c r="A53" s="94" t="s">
        <v>97</v>
      </c>
      <c r="B53" s="95">
        <v>18280497.309900574</v>
      </c>
      <c r="C53" s="96">
        <v>56.100786279313475</v>
      </c>
      <c r="D53" s="95">
        <f>SUM(D51:D52)</f>
        <v>18501000</v>
      </c>
    </row>
    <row r="54" spans="1:5" x14ac:dyDescent="0.3">
      <c r="D54" s="99">
        <f>(D51+D52)/B53</f>
        <v>1.0120621822459941</v>
      </c>
      <c r="E54" s="100">
        <f>1-D54</f>
        <v>-1.2062182245994091E-2</v>
      </c>
    </row>
    <row r="56" spans="1:5" x14ac:dyDescent="0.3">
      <c r="D56" s="68">
        <f>D51/325851</f>
        <v>11.047994328696245</v>
      </c>
      <c r="E56">
        <f>E51/325851</f>
        <v>46.499780574557086</v>
      </c>
    </row>
    <row r="59" spans="1:5" x14ac:dyDescent="0.3">
      <c r="D59" s="68">
        <f>100000*108</f>
        <v>10800000</v>
      </c>
    </row>
  </sheetData>
  <mergeCells count="5">
    <mergeCell ref="A1:E2"/>
    <mergeCell ref="A3:A4"/>
    <mergeCell ref="B3:C3"/>
    <mergeCell ref="E3:E4"/>
    <mergeCell ref="D3:D4"/>
  </mergeCells>
  <pageMargins left="0.7" right="0.7" top="0.75" bottom="0.75" header="0.3" footer="0.3"/>
  <pageSetup paperSize="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election activeCell="D7" sqref="D7"/>
    </sheetView>
  </sheetViews>
  <sheetFormatPr defaultRowHeight="14.4" x14ac:dyDescent="0.3"/>
  <cols>
    <col min="1" max="1" width="24.109375" customWidth="1"/>
    <col min="2" max="2" width="15" customWidth="1"/>
    <col min="3" max="3" width="15.6640625" customWidth="1"/>
  </cols>
  <sheetData>
    <row r="1" spans="1:4" ht="24" customHeight="1" thickBot="1" x14ac:dyDescent="0.35">
      <c r="A1" s="139" t="s">
        <v>53</v>
      </c>
      <c r="B1" s="141" t="s">
        <v>85</v>
      </c>
      <c r="C1" s="142"/>
    </row>
    <row r="2" spans="1:4" ht="15" thickBot="1" x14ac:dyDescent="0.35">
      <c r="A2" s="140"/>
      <c r="B2" s="58" t="s">
        <v>95</v>
      </c>
      <c r="C2" s="59" t="s">
        <v>96</v>
      </c>
      <c r="D2" t="s">
        <v>147</v>
      </c>
    </row>
    <row r="3" spans="1:4" ht="28.2" thickBot="1" x14ac:dyDescent="0.35">
      <c r="A3" s="50" t="s">
        <v>91</v>
      </c>
      <c r="B3" s="85">
        <v>0</v>
      </c>
      <c r="C3" s="54">
        <f>B3/325851</f>
        <v>0</v>
      </c>
      <c r="D3" t="s">
        <v>148</v>
      </c>
    </row>
    <row r="4" spans="1:4" ht="15" thickBot="1" x14ac:dyDescent="0.35">
      <c r="A4" s="51" t="s">
        <v>92</v>
      </c>
      <c r="B4" s="86">
        <f>385120*1*2</f>
        <v>770240</v>
      </c>
      <c r="C4" s="54">
        <f t="shared" ref="C4:C6" si="0">B4/325851</f>
        <v>2.363779764370832</v>
      </c>
      <c r="D4" s="143" t="s">
        <v>146</v>
      </c>
    </row>
    <row r="5" spans="1:4" ht="15" thickBot="1" x14ac:dyDescent="0.35">
      <c r="A5" s="51" t="s">
        <v>93</v>
      </c>
      <c r="B5" s="86">
        <v>0</v>
      </c>
      <c r="C5" s="54">
        <f t="shared" si="0"/>
        <v>0</v>
      </c>
      <c r="D5" s="68" t="s">
        <v>148</v>
      </c>
    </row>
    <row r="6" spans="1:4" ht="15.75" thickBot="1" x14ac:dyDescent="0.3">
      <c r="A6" s="52" t="s">
        <v>94</v>
      </c>
      <c r="B6" s="87">
        <f>SUM(B3:B5)</f>
        <v>770240</v>
      </c>
      <c r="C6" s="54">
        <f t="shared" si="0"/>
        <v>2.363779764370832</v>
      </c>
    </row>
  </sheetData>
  <mergeCells count="2">
    <mergeCell ref="A1:A2"/>
    <mergeCell ref="B1:C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Construction Demand - JVR Solar</vt:lpstr>
      <vt:lpstr>Proposed Current Water Demand</vt:lpstr>
      <vt:lpstr>Construction Demand Clean</vt:lpstr>
      <vt:lpstr>Operational Demand</vt:lpstr>
      <vt:lpstr>'Construction Demand - JVR Solar'!Print_Area</vt:lpstr>
      <vt:lpstr>'Construction Demand Clean'!Print_Area</vt:lpstr>
    </vt:vector>
  </TitlesOfParts>
  <Company>DUDEK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Megan Lawson</dc:creator>
  <cp:lastModifiedBy>Trey Driscoll</cp:lastModifiedBy>
  <cp:lastPrinted>2014-05-07T20:07:18Z</cp:lastPrinted>
  <dcterms:created xsi:type="dcterms:W3CDTF">2014-02-12T23:31:36Z</dcterms:created>
  <dcterms:modified xsi:type="dcterms:W3CDTF">2017-11-28T21:43:35Z</dcterms:modified>
</cp:coreProperties>
</file>